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0" documentId="13_ncr:1_{4F553A33-F700-4133-9B03-308623404FEB}" xr6:coauthVersionLast="47" xr6:coauthVersionMax="47" xr10:uidLastSave="{00000000-0000-0000-0000-000000000000}"/>
  <bookViews>
    <workbookView xWindow="38280" yWindow="-120" windowWidth="29040" windowHeight="15720" tabRatio="666" xr2:uid="{00000000-000D-0000-FFFF-FFFF00000000}"/>
  </bookViews>
  <sheets>
    <sheet name="INFO" sheetId="25" r:id="rId1"/>
    <sheet name="Dashboard" sheetId="24" r:id="rId2"/>
    <sheet name="Strategisch" sheetId="13" r:id="rId3"/>
    <sheet name="Tactisch" sheetId="6" r:id="rId4"/>
    <sheet name="Ondersteunende bronnen" sheetId="26" state="hidden" r:id="rId5"/>
    <sheet name="||" sheetId="5" state="hidden" r:id="rId6"/>
    <sheet name="Samenvatting-Data" sheetId="15" state="hidden" r:id="rId7"/>
    <sheet name="DATA" sheetId="14"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26" l="1"/>
  <c r="J28" i="26"/>
  <c r="J27" i="26"/>
  <c r="J26" i="26"/>
  <c r="J25" i="26"/>
  <c r="J24" i="26"/>
  <c r="J23" i="26"/>
  <c r="J20" i="26"/>
  <c r="J19" i="26"/>
  <c r="J18" i="26"/>
  <c r="J17" i="26"/>
  <c r="J16" i="26"/>
  <c r="J52" i="26" l="1"/>
  <c r="J51" i="26"/>
  <c r="J50" i="26"/>
  <c r="J49" i="26"/>
  <c r="J48" i="26"/>
  <c r="J47" i="26"/>
  <c r="J46" i="26"/>
  <c r="J43" i="26"/>
  <c r="J42" i="26"/>
  <c r="J41" i="26"/>
  <c r="J40" i="26"/>
  <c r="J39" i="26"/>
  <c r="J38" i="26"/>
  <c r="J37" i="26"/>
  <c r="J36" i="26"/>
  <c r="J35" i="26"/>
  <c r="J34" i="26"/>
  <c r="J33" i="26"/>
  <c r="J32" i="26"/>
  <c r="J31" i="26"/>
  <c r="J30" i="26"/>
  <c r="J22" i="26"/>
  <c r="J21" i="26"/>
  <c r="J15" i="26"/>
  <c r="R29" i="26"/>
  <c r="R28" i="26"/>
  <c r="R26" i="26"/>
  <c r="R23" i="26"/>
  <c r="R20" i="26"/>
  <c r="R19" i="26"/>
  <c r="R18" i="26"/>
  <c r="R17" i="26"/>
  <c r="R16" i="26"/>
  <c r="J12" i="26"/>
  <c r="J11" i="26"/>
  <c r="J10" i="26"/>
  <c r="J9" i="26"/>
  <c r="J8" i="26"/>
  <c r="J7" i="26"/>
  <c r="J6" i="26"/>
  <c r="J5" i="26"/>
  <c r="J4" i="26"/>
  <c r="R48" i="26"/>
  <c r="R47" i="26"/>
  <c r="R7" i="26"/>
  <c r="R6" i="26"/>
  <c r="R5" i="26"/>
  <c r="Q43" i="26"/>
  <c r="Q42" i="26"/>
  <c r="Q41" i="26"/>
  <c r="Q40" i="26"/>
  <c r="Q39" i="26"/>
  <c r="Q38" i="26"/>
  <c r="Q37" i="26"/>
  <c r="Q36" i="26"/>
  <c r="Q35" i="26"/>
  <c r="Q34" i="26"/>
  <c r="Q33" i="26"/>
  <c r="Q32" i="26"/>
  <c r="Q31" i="26"/>
  <c r="Q30" i="26"/>
  <c r="Q29" i="26"/>
  <c r="Q28" i="26"/>
  <c r="Q27" i="26"/>
  <c r="Q26" i="26"/>
  <c r="Q25" i="26"/>
  <c r="Q24" i="26"/>
  <c r="Q23" i="26"/>
  <c r="Q22" i="26"/>
  <c r="Q21" i="26"/>
  <c r="Q20" i="26"/>
  <c r="Q19" i="26"/>
  <c r="Q18" i="26"/>
  <c r="Q17" i="26"/>
  <c r="Q16" i="26"/>
  <c r="F45" i="6"/>
  <c r="J45" i="6" l="1"/>
  <c r="G45" i="6"/>
  <c r="AO60" i="6"/>
  <c r="AO59" i="6"/>
  <c r="AO58" i="6"/>
  <c r="AO56" i="6"/>
  <c r="AO55" i="6"/>
  <c r="AO54" i="6"/>
  <c r="AO53" i="6"/>
  <c r="AO52" i="6"/>
  <c r="AO51" i="6"/>
  <c r="AO50" i="6"/>
  <c r="AO46" i="6"/>
  <c r="AO44" i="6"/>
  <c r="AO43" i="6"/>
  <c r="AO42" i="6"/>
  <c r="AO41" i="6"/>
  <c r="AO40" i="6"/>
  <c r="AO39" i="6"/>
  <c r="AO38" i="6"/>
  <c r="AO37" i="6"/>
  <c r="AO36" i="6"/>
  <c r="AO35" i="6"/>
  <c r="AO34" i="6"/>
  <c r="AO33" i="6"/>
  <c r="AO32" i="6"/>
  <c r="AO31" i="6"/>
  <c r="AO30" i="6"/>
  <c r="AO29" i="6"/>
  <c r="AO28" i="6"/>
  <c r="AO27" i="6"/>
  <c r="AO26" i="6"/>
  <c r="AO25" i="6"/>
  <c r="AO24" i="6"/>
  <c r="AO23" i="6"/>
  <c r="AO22" i="6"/>
  <c r="AO21" i="6"/>
  <c r="AO20" i="6"/>
  <c r="AO19" i="6"/>
  <c r="AO18" i="6"/>
  <c r="AO17" i="6"/>
  <c r="AO14" i="6"/>
  <c r="AO13" i="6"/>
  <c r="AO12" i="6"/>
  <c r="AO11" i="6"/>
  <c r="AO10" i="6"/>
  <c r="I43" i="26"/>
  <c r="AN1" i="6" s="1"/>
  <c r="I42" i="26"/>
  <c r="AM1" i="6" s="1"/>
  <c r="I41" i="26"/>
  <c r="AL1" i="6" s="1"/>
  <c r="I40" i="26"/>
  <c r="AK1" i="6" s="1"/>
  <c r="I39" i="26"/>
  <c r="AJ1" i="6" s="1"/>
  <c r="I38" i="26"/>
  <c r="AI1" i="6" s="1"/>
  <c r="I37" i="26"/>
  <c r="AH1" i="6" s="1"/>
  <c r="I36" i="26"/>
  <c r="AG1" i="6" s="1"/>
  <c r="I35" i="26"/>
  <c r="AF1" i="6" s="1"/>
  <c r="I34" i="26"/>
  <c r="AE1" i="6" s="1"/>
  <c r="I33" i="26"/>
  <c r="AD1" i="6" s="1"/>
  <c r="I32" i="26"/>
  <c r="AC1" i="6" s="1"/>
  <c r="I31" i="26"/>
  <c r="AB1" i="6" s="1"/>
  <c r="I30" i="26"/>
  <c r="AA1" i="6" s="1"/>
  <c r="I29" i="26"/>
  <c r="Z1" i="6" s="1"/>
  <c r="M10" i="26"/>
  <c r="M9" i="26"/>
  <c r="M5" i="26"/>
  <c r="M4" i="26"/>
  <c r="F25" i="13" l="1"/>
  <c r="L49" i="26"/>
  <c r="L48" i="26"/>
  <c r="J60" i="6"/>
  <c r="J59" i="6"/>
  <c r="J58" i="6"/>
  <c r="J57" i="6"/>
  <c r="J56" i="6"/>
  <c r="J55" i="6"/>
  <c r="J54" i="6"/>
  <c r="J53" i="6"/>
  <c r="J52" i="6"/>
  <c r="J51" i="6"/>
  <c r="J50" i="6"/>
  <c r="J49" i="6"/>
  <c r="J48" i="6"/>
  <c r="J47" i="6"/>
  <c r="J42" i="6"/>
  <c r="J41" i="6"/>
  <c r="J40" i="6"/>
  <c r="J38" i="6"/>
  <c r="J37" i="6"/>
  <c r="J35" i="6"/>
  <c r="J34" i="6"/>
  <c r="J33" i="6"/>
  <c r="J32" i="6"/>
  <c r="J31" i="6"/>
  <c r="J30" i="6"/>
  <c r="J29" i="6"/>
  <c r="J28" i="6"/>
  <c r="J27" i="6"/>
  <c r="J25" i="6"/>
  <c r="J22" i="6"/>
  <c r="J21" i="6"/>
  <c r="J20" i="6"/>
  <c r="J19" i="6"/>
  <c r="J18" i="6"/>
  <c r="J17" i="6"/>
  <c r="J16" i="6"/>
  <c r="J15" i="6"/>
  <c r="J14" i="6"/>
  <c r="J11" i="6"/>
  <c r="J10" i="6"/>
  <c r="I52" i="26"/>
  <c r="I51" i="26"/>
  <c r="I50" i="26"/>
  <c r="I49" i="26"/>
  <c r="I48" i="26"/>
  <c r="I47" i="26"/>
  <c r="U33" i="13"/>
  <c r="U32" i="13"/>
  <c r="U31" i="13"/>
  <c r="U30" i="13"/>
  <c r="U29" i="13"/>
  <c r="U28" i="13"/>
  <c r="U27" i="13"/>
  <c r="U26" i="13"/>
  <c r="U25" i="13"/>
  <c r="U24" i="13"/>
  <c r="U23" i="13"/>
  <c r="U22" i="13"/>
  <c r="U21" i="13"/>
  <c r="U20" i="13"/>
  <c r="U19" i="13"/>
  <c r="U18" i="13"/>
  <c r="U17" i="13"/>
  <c r="U16" i="13"/>
  <c r="U15" i="13"/>
  <c r="U14" i="13"/>
  <c r="U13" i="13"/>
  <c r="U12" i="13"/>
  <c r="U11" i="13"/>
  <c r="U10" i="13"/>
  <c r="U9" i="13"/>
  <c r="I12" i="26"/>
  <c r="T1" i="13" s="1"/>
  <c r="I11" i="26"/>
  <c r="S1" i="13" s="1"/>
  <c r="I10" i="26"/>
  <c r="R1" i="13" s="1"/>
  <c r="I9" i="26"/>
  <c r="Q1" i="13" s="1"/>
  <c r="L47" i="26"/>
  <c r="I7" i="26"/>
  <c r="I15" i="26"/>
  <c r="L1" i="6" s="1"/>
  <c r="B14" i="26"/>
  <c r="C14" i="26" s="1"/>
  <c r="C70" i="24"/>
  <c r="I28" i="26"/>
  <c r="Y1" i="6" s="1"/>
  <c r="I27" i="26"/>
  <c r="X1" i="6" s="1"/>
  <c r="I26" i="26"/>
  <c r="W1" i="6" s="1"/>
  <c r="I25" i="26"/>
  <c r="V1" i="6" s="1"/>
  <c r="I24" i="26"/>
  <c r="U1" i="6" s="1"/>
  <c r="I23" i="26"/>
  <c r="T1" i="6" s="1"/>
  <c r="I22" i="26"/>
  <c r="S1" i="6" s="1"/>
  <c r="I21" i="26"/>
  <c r="R1" i="6" s="1"/>
  <c r="I20" i="26"/>
  <c r="Q1" i="6" s="1"/>
  <c r="I19" i="26"/>
  <c r="P1" i="6" s="1"/>
  <c r="I18" i="26"/>
  <c r="O1" i="6" s="1"/>
  <c r="I17" i="26"/>
  <c r="N1" i="6" s="1"/>
  <c r="I16" i="26"/>
  <c r="M1" i="6" s="1"/>
  <c r="I46" i="26"/>
  <c r="I8" i="26"/>
  <c r="P1" i="13" s="1"/>
  <c r="I6" i="26"/>
  <c r="I5" i="26"/>
  <c r="I4" i="26"/>
  <c r="F18" i="13"/>
  <c r="K20" i="15" l="1"/>
  <c r="K19" i="15"/>
  <c r="K18" i="15"/>
  <c r="K17" i="15"/>
  <c r="K16" i="15"/>
  <c r="K11" i="15"/>
  <c r="K10" i="15"/>
  <c r="K9" i="15"/>
  <c r="K8" i="15"/>
  <c r="J30" i="13"/>
  <c r="J29" i="13"/>
  <c r="J28" i="13"/>
  <c r="J23" i="13"/>
  <c r="J22" i="13"/>
  <c r="J21" i="13"/>
  <c r="J20" i="13"/>
  <c r="J19" i="13"/>
  <c r="J16" i="13"/>
  <c r="J15" i="13"/>
  <c r="J14" i="13"/>
  <c r="J13" i="13"/>
  <c r="J12" i="13"/>
  <c r="J11" i="13"/>
  <c r="J10" i="13"/>
  <c r="J9" i="13"/>
  <c r="L20" i="15"/>
  <c r="J9" i="6"/>
  <c r="G33" i="13"/>
  <c r="G32" i="13"/>
  <c r="G31" i="13"/>
  <c r="G30" i="13"/>
  <c r="G29" i="13"/>
  <c r="G28" i="13"/>
  <c r="G27" i="13"/>
  <c r="G26" i="13"/>
  <c r="G25" i="13"/>
  <c r="G24" i="13"/>
  <c r="G23" i="13"/>
  <c r="G22" i="13"/>
  <c r="G21" i="13"/>
  <c r="G20" i="13"/>
  <c r="G19" i="13"/>
  <c r="G18" i="13"/>
  <c r="G17" i="13"/>
  <c r="G16" i="13"/>
  <c r="G15" i="13"/>
  <c r="G14" i="13"/>
  <c r="G13" i="13"/>
  <c r="G12" i="13"/>
  <c r="G11" i="13"/>
  <c r="G10" i="13"/>
  <c r="G9" i="13"/>
  <c r="G60" i="6"/>
  <c r="G59" i="6"/>
  <c r="G58" i="6"/>
  <c r="G57" i="6"/>
  <c r="G56" i="6"/>
  <c r="G55" i="6"/>
  <c r="G54" i="6"/>
  <c r="G53" i="6"/>
  <c r="G52" i="6"/>
  <c r="G51" i="6"/>
  <c r="G50" i="6"/>
  <c r="G49" i="6"/>
  <c r="G48" i="6"/>
  <c r="G47" i="6"/>
  <c r="G46" i="6"/>
  <c r="G44" i="6"/>
  <c r="G43" i="6"/>
  <c r="G42" i="6"/>
  <c r="G41" i="6"/>
  <c r="G40" i="6"/>
  <c r="G39" i="6"/>
  <c r="G38" i="6"/>
  <c r="G37" i="6"/>
  <c r="G36" i="6"/>
  <c r="G35" i="6"/>
  <c r="G34" i="6"/>
  <c r="G33" i="6"/>
  <c r="G32" i="6"/>
  <c r="G30" i="6"/>
  <c r="G29" i="6"/>
  <c r="G28" i="6"/>
  <c r="G27" i="6"/>
  <c r="G26" i="6"/>
  <c r="G25" i="6"/>
  <c r="G23" i="6"/>
  <c r="G22" i="6"/>
  <c r="G21" i="6"/>
  <c r="G20" i="6"/>
  <c r="G19" i="6"/>
  <c r="G18" i="6"/>
  <c r="G17" i="6"/>
  <c r="G16" i="6"/>
  <c r="G15" i="6"/>
  <c r="G14" i="6"/>
  <c r="G13" i="6"/>
  <c r="G12" i="6"/>
  <c r="G11" i="6"/>
  <c r="G10" i="6"/>
  <c r="G9" i="6"/>
  <c r="L19" i="15" l="1"/>
  <c r="M19" i="15" s="1"/>
  <c r="M20" i="15"/>
  <c r="L9" i="15"/>
  <c r="M9" i="15" s="1"/>
  <c r="O1" i="13"/>
  <c r="N1" i="13"/>
  <c r="M1" i="13"/>
  <c r="L1" i="13"/>
  <c r="B52" i="26"/>
  <c r="C52" i="26" s="1"/>
  <c r="B51" i="26"/>
  <c r="C51" i="26" s="1"/>
  <c r="B50" i="26"/>
  <c r="C50" i="26" s="1"/>
  <c r="B49" i="26"/>
  <c r="C49" i="26" s="1"/>
  <c r="B48" i="26"/>
  <c r="C48" i="26" s="1"/>
  <c r="B47" i="26"/>
  <c r="C47" i="26" s="1"/>
  <c r="F17" i="13" l="1"/>
  <c r="F43" i="6"/>
  <c r="J43" i="6" s="1"/>
  <c r="F13" i="6"/>
  <c r="J13" i="6" s="1"/>
  <c r="F12" i="6"/>
  <c r="H20" i="15"/>
  <c r="G20" i="15"/>
  <c r="H19" i="15"/>
  <c r="G19" i="15"/>
  <c r="F46" i="24"/>
  <c r="F51" i="24" s="1"/>
  <c r="C63" i="6"/>
  <c r="C36" i="13"/>
  <c r="C75" i="24"/>
  <c r="J12" i="6" l="1"/>
  <c r="L16" i="15"/>
  <c r="J18" i="13"/>
  <c r="J17" i="13"/>
  <c r="H16" i="15"/>
  <c r="G16" i="15"/>
  <c r="J16" i="15" s="1"/>
  <c r="G8" i="15"/>
  <c r="H8" i="15"/>
  <c r="F48" i="24"/>
  <c r="F49" i="24"/>
  <c r="F50" i="24"/>
  <c r="F47" i="24"/>
  <c r="F20" i="15"/>
  <c r="J20" i="15"/>
  <c r="N20" i="15" s="1"/>
  <c r="F19" i="15"/>
  <c r="J19" i="15"/>
  <c r="N19" i="15" s="1"/>
  <c r="C5" i="6"/>
  <c r="C5" i="13"/>
  <c r="C5" i="24"/>
  <c r="F44" i="6"/>
  <c r="J44" i="6" s="1"/>
  <c r="F39" i="6"/>
  <c r="J39" i="6" s="1"/>
  <c r="F36" i="6"/>
  <c r="J36" i="6" s="1"/>
  <c r="J26" i="6"/>
  <c r="J24" i="6"/>
  <c r="F23" i="6"/>
  <c r="J23" i="6" s="1"/>
  <c r="F31" i="13"/>
  <c r="F32" i="13"/>
  <c r="J32" i="13" s="1"/>
  <c r="F33" i="13"/>
  <c r="M43" i="26" l="1"/>
  <c r="L43" i="26" s="1"/>
  <c r="B43" i="26" s="1"/>
  <c r="C43" i="26" s="1"/>
  <c r="M29" i="26"/>
  <c r="L29" i="26" s="1"/>
  <c r="B29" i="26" s="1"/>
  <c r="C29" i="26" s="1"/>
  <c r="M30" i="26"/>
  <c r="L30" i="26" s="1"/>
  <c r="B30" i="26" s="1"/>
  <c r="C30" i="26" s="1"/>
  <c r="M31" i="26"/>
  <c r="L31" i="26" s="1"/>
  <c r="B31" i="26" s="1"/>
  <c r="C31" i="26" s="1"/>
  <c r="M32" i="26"/>
  <c r="L32" i="26" s="1"/>
  <c r="B32" i="26" s="1"/>
  <c r="C32" i="26" s="1"/>
  <c r="M33" i="26"/>
  <c r="L33" i="26" s="1"/>
  <c r="B33" i="26" s="1"/>
  <c r="C33" i="26" s="1"/>
  <c r="M34" i="26"/>
  <c r="L34" i="26" s="1"/>
  <c r="B34" i="26" s="1"/>
  <c r="C34" i="26" s="1"/>
  <c r="M35" i="26"/>
  <c r="L35" i="26" s="1"/>
  <c r="B35" i="26" s="1"/>
  <c r="C35" i="26" s="1"/>
  <c r="M36" i="26"/>
  <c r="L36" i="26" s="1"/>
  <c r="B36" i="26" s="1"/>
  <c r="C36" i="26" s="1"/>
  <c r="M37" i="26"/>
  <c r="L37" i="26" s="1"/>
  <c r="B37" i="26" s="1"/>
  <c r="C37" i="26" s="1"/>
  <c r="M38" i="26"/>
  <c r="L38" i="26" s="1"/>
  <c r="B38" i="26" s="1"/>
  <c r="C38" i="26" s="1"/>
  <c r="M39" i="26"/>
  <c r="L39" i="26" s="1"/>
  <c r="B39" i="26" s="1"/>
  <c r="C39" i="26" s="1"/>
  <c r="M40" i="26"/>
  <c r="L40" i="26" s="1"/>
  <c r="B40" i="26" s="1"/>
  <c r="C40" i="26" s="1"/>
  <c r="M41" i="26"/>
  <c r="L41" i="26" s="1"/>
  <c r="B41" i="26" s="1"/>
  <c r="C41" i="26" s="1"/>
  <c r="M42" i="26"/>
  <c r="L42" i="26" s="1"/>
  <c r="B42" i="26" s="1"/>
  <c r="C42" i="26" s="1"/>
  <c r="M24" i="26"/>
  <c r="L24" i="26" s="1"/>
  <c r="B24" i="26" s="1"/>
  <c r="M23" i="26"/>
  <c r="L23" i="26" s="1"/>
  <c r="B23" i="26" s="1"/>
  <c r="M28" i="26"/>
  <c r="L28" i="26" s="1"/>
  <c r="B28" i="26" s="1"/>
  <c r="C28" i="26" s="1"/>
  <c r="M17" i="26"/>
  <c r="L17" i="26" s="1"/>
  <c r="B17" i="26" s="1"/>
  <c r="M19" i="26"/>
  <c r="L19" i="26" s="1"/>
  <c r="B19" i="26" s="1"/>
  <c r="M20" i="26"/>
  <c r="L20" i="26" s="1"/>
  <c r="B20" i="26" s="1"/>
  <c r="M22" i="26"/>
  <c r="L22" i="26" s="1"/>
  <c r="B22" i="26" s="1"/>
  <c r="M27" i="26"/>
  <c r="L27" i="26" s="1"/>
  <c r="B27" i="26" s="1"/>
  <c r="M26" i="26"/>
  <c r="L26" i="26" s="1"/>
  <c r="B26" i="26" s="1"/>
  <c r="M21" i="26"/>
  <c r="L21" i="26" s="1"/>
  <c r="B21" i="26" s="1"/>
  <c r="M15" i="26"/>
  <c r="L15" i="26" s="1"/>
  <c r="B15" i="26" s="1"/>
  <c r="M18" i="26"/>
  <c r="L18" i="26" s="1"/>
  <c r="B18" i="26" s="1"/>
  <c r="M16" i="26"/>
  <c r="L16" i="26" s="1"/>
  <c r="B16" i="26" s="1"/>
  <c r="M25" i="26"/>
  <c r="L25" i="26" s="1"/>
  <c r="B25" i="26" s="1"/>
  <c r="J46" i="6"/>
  <c r="L17" i="15" s="1"/>
  <c r="M17" i="15" s="1"/>
  <c r="J31" i="13"/>
  <c r="M16" i="15"/>
  <c r="N16" i="15" s="1"/>
  <c r="L8" i="15"/>
  <c r="J33" i="13"/>
  <c r="L10" i="15" s="1"/>
  <c r="M10" i="15" s="1"/>
  <c r="L18" i="15"/>
  <c r="M18" i="15" s="1"/>
  <c r="F16" i="15"/>
  <c r="H17" i="15"/>
  <c r="G17" i="15"/>
  <c r="C21" i="26" l="1"/>
  <c r="C24" i="26"/>
  <c r="C27" i="26"/>
  <c r="C23" i="26"/>
  <c r="C22" i="26"/>
  <c r="C25" i="26"/>
  <c r="C26" i="26"/>
  <c r="L21" i="15"/>
  <c r="M8" i="15"/>
  <c r="F17" i="15"/>
  <c r="F27" i="13" l="1"/>
  <c r="F26" i="13"/>
  <c r="J26" i="13" s="1"/>
  <c r="J25" i="13" l="1"/>
  <c r="M6" i="26"/>
  <c r="L6" i="26" s="1"/>
  <c r="M7" i="26"/>
  <c r="L7" i="26" s="1"/>
  <c r="L9" i="26"/>
  <c r="B9" i="26" s="1"/>
  <c r="M11" i="26"/>
  <c r="M12" i="26"/>
  <c r="L12" i="26" s="1"/>
  <c r="B12" i="26" s="1"/>
  <c r="L10" i="26"/>
  <c r="B10" i="26" s="1"/>
  <c r="C10" i="26" s="1"/>
  <c r="M8" i="26"/>
  <c r="L8" i="26" s="1"/>
  <c r="B8" i="26" s="1"/>
  <c r="L11" i="26"/>
  <c r="B11" i="26" s="1"/>
  <c r="C11" i="26" s="1"/>
  <c r="L5" i="26"/>
  <c r="J24" i="13"/>
  <c r="L4" i="26"/>
  <c r="J27" i="13"/>
  <c r="F8" i="15"/>
  <c r="I8" i="15" s="1"/>
  <c r="J8" i="15"/>
  <c r="N8" i="15" s="1"/>
  <c r="L11" i="15" l="1"/>
  <c r="M11" i="15" s="1"/>
  <c r="D20" i="15"/>
  <c r="D19" i="15"/>
  <c r="D18" i="15"/>
  <c r="D17" i="15"/>
  <c r="D16" i="15"/>
  <c r="D10" i="15"/>
  <c r="D11" i="15"/>
  <c r="D9" i="15"/>
  <c r="D8" i="15"/>
  <c r="O20" i="15"/>
  <c r="A20" i="15" s="1"/>
  <c r="O19" i="15"/>
  <c r="A19" i="15" s="1"/>
  <c r="H18" i="15"/>
  <c r="O18" i="15" s="1"/>
  <c r="A18" i="15" s="1"/>
  <c r="O17" i="15"/>
  <c r="A17" i="15" s="1"/>
  <c r="O16" i="15"/>
  <c r="A16" i="15" s="1"/>
  <c r="H10" i="15"/>
  <c r="O10" i="15" s="1"/>
  <c r="H11" i="15"/>
  <c r="O11" i="15" s="1"/>
  <c r="H9" i="15"/>
  <c r="O9" i="15" s="1"/>
  <c r="A9" i="15" s="1"/>
  <c r="L12" i="15" l="1"/>
  <c r="B13" i="26"/>
  <c r="B7" i="26"/>
  <c r="B6" i="26"/>
  <c r="A11" i="15"/>
  <c r="B5" i="26"/>
  <c r="A10" i="15"/>
  <c r="B20" i="15"/>
  <c r="O22" i="15"/>
  <c r="O8" i="15"/>
  <c r="C19" i="26" l="1"/>
  <c r="C15" i="26"/>
  <c r="A8" i="15"/>
  <c r="B16" i="15" s="1"/>
  <c r="B19" i="15"/>
  <c r="B17" i="15"/>
  <c r="B18" i="15"/>
  <c r="O13" i="15"/>
  <c r="B8" i="15"/>
  <c r="B10" i="15" l="1"/>
  <c r="B9" i="15"/>
  <c r="B11" i="15"/>
  <c r="B4" i="26"/>
  <c r="C16" i="26" s="1"/>
  <c r="C4" i="26"/>
  <c r="C17" i="26" l="1"/>
  <c r="C18" i="26"/>
  <c r="C12" i="26"/>
  <c r="C9" i="26"/>
  <c r="C20" i="26"/>
  <c r="C8" i="26"/>
  <c r="C6" i="26"/>
  <c r="C13" i="26"/>
  <c r="C5" i="26"/>
  <c r="C7" i="26"/>
  <c r="L21" i="14"/>
  <c r="L22" i="14" s="1"/>
  <c r="L20" i="14"/>
  <c r="L19" i="14"/>
  <c r="K21" i="14"/>
  <c r="K20" i="14"/>
  <c r="K19" i="14"/>
  <c r="M19" i="14" s="1"/>
  <c r="L18" i="14"/>
  <c r="K18" i="14"/>
  <c r="M18" i="14" s="1"/>
  <c r="L17" i="14"/>
  <c r="K17" i="14"/>
  <c r="M17" i="14" s="1"/>
  <c r="L16" i="14"/>
  <c r="K16" i="14"/>
  <c r="M16" i="14" s="1"/>
  <c r="F61" i="24" l="1"/>
  <c r="C65" i="24"/>
  <c r="D65" i="24"/>
  <c r="C58" i="24"/>
  <c r="C64" i="24"/>
  <c r="F67" i="24"/>
  <c r="C60" i="24"/>
  <c r="F64" i="24"/>
  <c r="C61" i="24"/>
  <c r="D62" i="24"/>
  <c r="D61" i="24"/>
  <c r="F66" i="24"/>
  <c r="D59" i="24"/>
  <c r="F60" i="24"/>
  <c r="D57" i="24"/>
  <c r="D67" i="24"/>
  <c r="D60" i="24"/>
  <c r="C63" i="24"/>
  <c r="D58" i="24"/>
  <c r="C67" i="24"/>
  <c r="C62" i="24"/>
  <c r="F58" i="24"/>
  <c r="C57" i="24"/>
  <c r="F65" i="24"/>
  <c r="C66" i="24"/>
  <c r="D63" i="24"/>
  <c r="F57" i="24"/>
  <c r="F63" i="24"/>
  <c r="C59" i="24"/>
  <c r="D64" i="24"/>
  <c r="F59" i="24"/>
  <c r="F62" i="24"/>
  <c r="D66" i="24"/>
  <c r="C68" i="24"/>
  <c r="M20" i="14"/>
  <c r="K22" i="14"/>
  <c r="M22" i="14" s="1"/>
  <c r="M21" i="14"/>
  <c r="I19" i="15"/>
  <c r="J17" i="15"/>
  <c r="N17" i="15" s="1"/>
  <c r="I17" i="15"/>
  <c r="G18" i="15"/>
  <c r="I16" i="15"/>
  <c r="J18" i="15" l="1"/>
  <c r="N18" i="15" s="1"/>
  <c r="F18" i="15"/>
  <c r="I18" i="15" s="1"/>
  <c r="I20" i="15"/>
  <c r="G10" i="15"/>
  <c r="G11" i="15"/>
  <c r="G9" i="15"/>
  <c r="J9" i="15" l="1"/>
  <c r="N9" i="15" s="1"/>
  <c r="F9" i="15"/>
  <c r="I9" i="15" s="1"/>
  <c r="J10" i="15"/>
  <c r="N10" i="15" s="1"/>
  <c r="F10" i="15"/>
  <c r="I10" i="15" s="1"/>
  <c r="J11" i="15"/>
  <c r="N11" i="15" s="1"/>
  <c r="F11" i="15"/>
  <c r="I11" i="15" s="1"/>
  <c r="F2" i="15"/>
  <c r="E2" i="15"/>
  <c r="F3" i="15" l="1"/>
  <c r="E3" i="15"/>
  <c r="E4" i="15" s="1"/>
  <c r="L46" i="26" l="1"/>
  <c r="B46" i="26" s="1"/>
  <c r="B53" i="26" l="1"/>
  <c r="C46" i="26"/>
  <c r="D72" i="24" l="1"/>
  <c r="F73" i="24"/>
  <c r="F72" i="24"/>
  <c r="C72" i="24"/>
  <c r="C73" i="24"/>
  <c r="D73" i="24"/>
</calcChain>
</file>

<file path=xl/sharedStrings.xml><?xml version="1.0" encoding="utf-8"?>
<sst xmlns="http://schemas.openxmlformats.org/spreadsheetml/2006/main" count="926" uniqueCount="381">
  <si>
    <t>Strategisch</t>
  </si>
  <si>
    <t>Tactisch</t>
  </si>
  <si>
    <t>Informatiebeveiligingsbeleid</t>
  </si>
  <si>
    <t>Definieren Kroonjuwelen</t>
  </si>
  <si>
    <t>Roadmap</t>
  </si>
  <si>
    <t>Business Impact Analyse (BIA)</t>
  </si>
  <si>
    <t>Leveranciersmanagement</t>
  </si>
  <si>
    <t>Risico Management</t>
  </si>
  <si>
    <t>Expertise / Training</t>
  </si>
  <si>
    <t>Major Incident/crisis procedure</t>
  </si>
  <si>
    <t>Identity Management</t>
  </si>
  <si>
    <t>Endpoint Detectie</t>
  </si>
  <si>
    <t>Netwerk Detectie</t>
  </si>
  <si>
    <t>Security Controls</t>
  </si>
  <si>
    <t>Strategie</t>
  </si>
  <si>
    <t>Drivers</t>
  </si>
  <si>
    <t>Technology</t>
  </si>
  <si>
    <t>Heeft de organisatie een informatiebeveilingsbeleid geformuleerd?</t>
  </si>
  <si>
    <t>Hoeveel jaren bestrijkt het toegezegde budget?</t>
  </si>
  <si>
    <t>Risicobereidheid</t>
  </si>
  <si>
    <t>Doelstellingen</t>
  </si>
  <si>
    <t>Target Operating Model</t>
  </si>
  <si>
    <t>Eisen en Wensen</t>
  </si>
  <si>
    <t>Wet- en regelgeving</t>
  </si>
  <si>
    <t>Budgetering</t>
  </si>
  <si>
    <t>Sturing</t>
  </si>
  <si>
    <t>Onderwerp</t>
  </si>
  <si>
    <t>Vraag</t>
  </si>
  <si>
    <t>Antwoord</t>
  </si>
  <si>
    <t>Sturingsinformatie</t>
  </si>
  <si>
    <t>Organisatie</t>
  </si>
  <si>
    <t>Werkplekken</t>
  </si>
  <si>
    <t>Configuration Management</t>
  </si>
  <si>
    <t>Network Management</t>
  </si>
  <si>
    <t>Rapportage</t>
  </si>
  <si>
    <t>Log Management</t>
  </si>
  <si>
    <t>Server Park</t>
  </si>
  <si>
    <t>Audit policy</t>
  </si>
  <si>
    <t>Attack Surface</t>
  </si>
  <si>
    <t>Contract</t>
  </si>
  <si>
    <t>Threat Intelligence</t>
  </si>
  <si>
    <t>DROPDOWN</t>
  </si>
  <si>
    <t>JA</t>
  </si>
  <si>
    <t>NEE</t>
  </si>
  <si>
    <t>Totaal</t>
  </si>
  <si>
    <t>Positief</t>
  </si>
  <si>
    <t>Ingevuld</t>
  </si>
  <si>
    <t>Readiness</t>
  </si>
  <si>
    <t>Risicobeheersing</t>
  </si>
  <si>
    <t>Advies</t>
  </si>
  <si>
    <t>TACTISCH</t>
  </si>
  <si>
    <t>STRATEGISCH</t>
  </si>
  <si>
    <t>SAMENVATTING</t>
  </si>
  <si>
    <t>Proces</t>
  </si>
  <si>
    <t>Mensen</t>
  </si>
  <si>
    <t>DETAIL INFORMATIE - READINESS ASSESSMENT</t>
  </si>
  <si>
    <t>JA/NEE</t>
  </si>
  <si>
    <t>Status</t>
  </si>
  <si>
    <t>Status %</t>
  </si>
  <si>
    <t>Incident Management (Processen en Procedures)</t>
  </si>
  <si>
    <t>Aanbestedingsplicht</t>
  </si>
  <si>
    <t>Inkoop-, contract- en leveranciersmanagement</t>
  </si>
  <si>
    <t>Duur van de overeenkomst</t>
  </si>
  <si>
    <t>Omvang van de overeenkomst</t>
  </si>
  <si>
    <t>Asset Management</t>
  </si>
  <si>
    <t>Trainingschema</t>
  </si>
  <si>
    <t>SOC Scope</t>
  </si>
  <si>
    <t>Kwetsbaarhedenbeheer</t>
  </si>
  <si>
    <t>Kwetsbaarhedenscan</t>
  </si>
  <si>
    <t>Kwetsbaarhedenregistratie</t>
  </si>
  <si>
    <t>Oplostijden kwetsbaarheden</t>
  </si>
  <si>
    <t>Platform security inrichting</t>
  </si>
  <si>
    <t>&gt; 10.000</t>
  </si>
  <si>
    <t>VOLUME</t>
  </si>
  <si>
    <t>500 - 1.000</t>
  </si>
  <si>
    <t>Readiness %</t>
  </si>
  <si>
    <t>Deel-onderwerp</t>
  </si>
  <si>
    <t>Cloud</t>
  </si>
  <si>
    <t>TABELLEN</t>
  </si>
  <si>
    <t>SOC SIZE</t>
  </si>
  <si>
    <t>SOC KOSTEN</t>
  </si>
  <si>
    <t>Werkplek</t>
  </si>
  <si>
    <t>Min</t>
  </si>
  <si>
    <t>Max</t>
  </si>
  <si>
    <t>SOC</t>
  </si>
  <si>
    <t>CERT</t>
  </si>
  <si>
    <t>Uitbesteden</t>
  </si>
  <si>
    <t>0 - 20</t>
  </si>
  <si>
    <t>20 - 50</t>
  </si>
  <si>
    <t>50 - 100</t>
  </si>
  <si>
    <t>100 - 250</t>
  </si>
  <si>
    <t>250 - 500</t>
  </si>
  <si>
    <t>Inhouse</t>
  </si>
  <si>
    <t>Overweeg Inhouse</t>
  </si>
  <si>
    <t>Kostenbereik</t>
  </si>
  <si>
    <t>Type SOC</t>
  </si>
  <si>
    <t>Minimum van 4 personen voor 9x5 SOC en 8 personen voor 24x7 SOC</t>
  </si>
  <si>
    <t>Service Level</t>
  </si>
  <si>
    <t>9x5</t>
  </si>
  <si>
    <t>24x7</t>
  </si>
  <si>
    <t>Service Level SOC</t>
  </si>
  <si>
    <t>Minimum van 2 personen voor 24x7 beschikbaarheid op oproepbasis</t>
  </si>
  <si>
    <t>Cost Multiplyer</t>
  </si>
  <si>
    <t>Classificatie - Kroonjuwelen</t>
  </si>
  <si>
    <t>Classificaties - Assets</t>
  </si>
  <si>
    <t>Over hoeveel werkplekken beschikt de organisatie?</t>
  </si>
  <si>
    <t>Inschattingsdetails organisatie</t>
  </si>
  <si>
    <t>Is de risicoanalyse gebruikt om de SOC roadmap te maken/prioriteren?</t>
  </si>
  <si>
    <t>Beschikt de organisatie over een configuratiebeheer-proces en wordt dit actief toegepast?</t>
  </si>
  <si>
    <t>Beschikt de organisatie over een proces met stekkermandaat?</t>
  </si>
  <si>
    <t>Gebruikt de organisatie een systeem voor incidentregistratie en -verwerking (ITSM)?</t>
  </si>
  <si>
    <t>Risicomanagement</t>
  </si>
  <si>
    <t>Aantallen</t>
  </si>
  <si>
    <t>&gt;</t>
  </si>
  <si>
    <t>Beleid - SLM</t>
  </si>
  <si>
    <t>Beleid - Monitoring</t>
  </si>
  <si>
    <t>Beleid - Kwetsbaarhedenbeheer</t>
  </si>
  <si>
    <t>Beleid - Incident Response</t>
  </si>
  <si>
    <t>Monitoring Level</t>
  </si>
  <si>
    <t>SLM</t>
  </si>
  <si>
    <t>Detectie</t>
  </si>
  <si>
    <t>Monitoring</t>
  </si>
  <si>
    <t>Neemt de organisatie managed security monitoring diensten af bij een externe partij?</t>
  </si>
  <si>
    <t>Neemt de organisatie managed security detectiediensten af bij een externe partij?</t>
  </si>
  <si>
    <t>Kosten indicatie berekening is op basis van Eur. 10,- tot Eur. 30,- per werkplek vanaf 10.000 FTE. Bij minder FTE wordt een extra kosten multiplyer toegepast. De prijs is Exclusief BTW en jaarlijksterugkerend.</t>
  </si>
  <si>
    <t>1.000 +</t>
  </si>
  <si>
    <t>10.000 +</t>
  </si>
  <si>
    <t>5 +</t>
  </si>
  <si>
    <t>10 +</t>
  </si>
  <si>
    <t>Is de risicoanalyse gebruikt om de SOC eisen en wensen te formuleren?</t>
  </si>
  <si>
    <t>Heeft de organisatie vastgelegd met welke externe wetgevingen en regulering rekening dient te worden gehouden?</t>
  </si>
  <si>
    <t>SOC Readiness Quickscan</t>
  </si>
  <si>
    <t>Initiële versie, SOC Readiness Quickscan</t>
  </si>
  <si>
    <t>GAB?</t>
  </si>
  <si>
    <t>Negatief</t>
  </si>
  <si>
    <t>GAB op Strategisch niveau?</t>
  </si>
  <si>
    <t>GAB op Tactisch niveau?</t>
  </si>
  <si>
    <t>GAP</t>
  </si>
  <si>
    <t>GAP ID</t>
  </si>
  <si>
    <t>Heeft de organisatie de 'te beschermen belangen' vastgesteld?</t>
  </si>
  <si>
    <t>Is er recent een SOC maturity assesment uitgevoerd op het eigen SOC?</t>
  </si>
  <si>
    <t>Beschikt de organisatie over een actueel overzicht van kroonjuwelen?</t>
  </si>
  <si>
    <t>Heeft de organisatie een actuele Business Impact Analysis (of vergelijkbaar) voor de kroonjuwelen?</t>
  </si>
  <si>
    <t>Beleid - Informatiebeveiliging</t>
  </si>
  <si>
    <t>Heeft Senior Management de informatiebehoefte vanuit het SOC vastgelegd?</t>
  </si>
  <si>
    <t>Heeft Senior Management de rapportagebehoefte vanuit het SOC vastgelegd?</t>
  </si>
  <si>
    <t>Beschikken de kroonjuwelen over een BIV, BBN of TBB classificatie?</t>
  </si>
  <si>
    <t>Beschikken alle assets over een BIV, BBN of TBB classificatie?</t>
  </si>
  <si>
    <t>Quickscan-voortgang</t>
  </si>
  <si>
    <t>Quickscan-Readiness</t>
  </si>
  <si>
    <t>Quickscan-Analyse</t>
  </si>
  <si>
    <t>Is de organisatie voor de gewenste SOC-dienstverlening aanbestedingsplichtig?</t>
  </si>
  <si>
    <t>SOC-Strategie</t>
  </si>
  <si>
    <t>Is de risicoanalyse gebruikt om de SOC-strategie te formuleren?</t>
  </si>
  <si>
    <t>Heeft de SOC-Manager de doelstellingen voor het realiseren van het SOC voor de komende jaren geformuleerd?</t>
  </si>
  <si>
    <t>Heeft de SOC-Manager een strategie geformuleerd om de doelstellingen te realiseren?</t>
  </si>
  <si>
    <t>Heeft de organisatie een SOC-meerjarenplan (roadmap) gedefinieerd met hierin de korte- en middellange-termijndoelen?</t>
  </si>
  <si>
    <t>Zijn zowel de investeringen als de operationele kosten opgenomen in de SOC-budgettering.</t>
  </si>
  <si>
    <t>Risicoanalyse</t>
  </si>
  <si>
    <t>Organisatieomvang</t>
  </si>
  <si>
    <t>SOC-team</t>
  </si>
  <si>
    <t>Dekt het SOC-team de volledige security monitoring scope?</t>
  </si>
  <si>
    <t>SOC-team bij Inhouse</t>
  </si>
  <si>
    <t>CERT-team</t>
  </si>
  <si>
    <t>Beschikt de organisatie over een (eigen) CERT- of CSIRT-team?</t>
  </si>
  <si>
    <t>CERT- of CSIRT-team</t>
  </si>
  <si>
    <t>Heeft de organsiatie een actueel overzicht van het aanvalsoppervlak dat dient te worden beveiligd?</t>
  </si>
  <si>
    <t>Voert de organisatie op frequente basis kwetsbaarhedenscans uit?</t>
  </si>
  <si>
    <t>Wordt de CMDB verrijkt met de uitkomsten van kwetbaarhedenscans?</t>
  </si>
  <si>
    <t>Is er een proces voor opvolging van kwetsbaarheden?</t>
  </si>
  <si>
    <t>Beschikt de organisatie over een actueel IP-nummerplan Public IPs &amp; Hostnamen (FQDN)?</t>
  </si>
  <si>
    <t>Beschikt de organisatie over een actueel IP-nummerplan met Private IPs?</t>
  </si>
  <si>
    <t>Beschikt de organisatie over een Identity Management-proces en -applicatie?</t>
  </si>
  <si>
    <t>Beschikt de organisatie over een actief risicobeheersingproces en bijbehorend systeem om risico´s te administreren ?</t>
  </si>
  <si>
    <t>Heeft het risicobeheersingproces invloed op wat wel/niet dient te worden gemonitord via het SOC?</t>
  </si>
  <si>
    <t>Maakt de organisatie gebruik van cloudoplossingen?</t>
  </si>
  <si>
    <t>Platforminrichting</t>
  </si>
  <si>
    <t>Quickscan statusvoorgang voor vragen op het werkblad "Strategisch" en "Tactisch"</t>
  </si>
  <si>
    <t>Geeft weer in hoeverre de organisatie is voorbereid op een SOC implementatie. Bij een 100% score is een organisatie zeer goed voorbereid.</t>
  </si>
  <si>
    <t>Visie</t>
  </si>
  <si>
    <t>Missie</t>
  </si>
  <si>
    <t>Heeft de organisatie budget beschikbaar gesteld voor het realiseren van de SOC-doelstellingen?</t>
  </si>
  <si>
    <t>Is er in het afgelopen jaar een organisatiespecifieke risicoanalyse (of dreigingsanalyse) uitgevoerd?</t>
  </si>
  <si>
    <t>Is de juiste expertise aanwezig binnen het CERT-team om alle bijbehorende taken goed uit te kunnen voeren?</t>
  </si>
  <si>
    <t>Beschikt de organisatie over een training/certificering matrix behorend bij de verschillende rollen binnen het CERT-team en SOC-team (indien van toepassing)</t>
  </si>
  <si>
    <t>Maakt de organisatie gebruik van Threat Intelligence feeds (Bijvoorbeeld OSINT of NCSC NDN feed)?</t>
  </si>
  <si>
    <t>Is binnen het informatiebeveiligingsbeleid een specifieke beschrijving voor Incident Response opgenomen?</t>
  </si>
  <si>
    <t>Is binnen het informatiebeveiligingsbeleid een specifieke beschrijving voor Security Logging en Monitoring gedefineerd?</t>
  </si>
  <si>
    <t>Is binnen het informatiebeveiligingsbeleid een specifieke beschrijving voor Continuous Monitoring gedefineerd?</t>
  </si>
  <si>
    <t>Is binnen het informatiebeveiligingsbeleid een specifieke beschrijving voor Kwetsbaarhedenbeheer gedefineerd?</t>
  </si>
  <si>
    <t>Beschikt de organisatie over een major incident procedure?</t>
  </si>
  <si>
    <t>Beschikt de organisatie over een crisis procedure?</t>
  </si>
  <si>
    <t>Beschikt het SOC over de mogelijkheid om security incidenten naar de major incident- of ciris-procedure te escaleren?</t>
  </si>
  <si>
    <t>Beschikt de organisatie over security detectiemogelijkheden op endpoints?</t>
  </si>
  <si>
    <t>VSSR</t>
  </si>
  <si>
    <t>Monitoring &amp; Detectie - Readiness Assistance</t>
  </si>
  <si>
    <t>Wat is de omvang van de organisatie (inclusief externe inhuur)?</t>
  </si>
  <si>
    <t>Beschikt de organisatie over een Configuration Management Database (CMDB)?</t>
  </si>
  <si>
    <t>Zijn er gewenste en/of vereiste oplostijden gedefinieerd voor kwetsbaarheden?</t>
  </si>
  <si>
    <t>Beschikt de organisatie over een ingericht log management systeem waar alle on-premise en/of cloud systemen/applicaties log data heen sturen (mogelijk voor operationele doeleinden).</t>
  </si>
  <si>
    <t>Beschikt de organisatie over gestandaardiseerde platforminrichting (architectuur &amp; configuratie)?</t>
  </si>
  <si>
    <t>Is er een security baseline opgenomen in de (gestandaardiseerde) platforminrichting?</t>
  </si>
  <si>
    <t>Beschikt de organisatie over een afdeling Leverancier- en/of contractmanagement en/of gestandaardiseerde procedures m.b.t. inkoopprocessen.</t>
  </si>
  <si>
    <t>Heeft de organisatie vastgesteld wat de belangrijkste Business Drivers zijn voor het inrichten van een Security Operations Center (SOC)?</t>
  </si>
  <si>
    <r>
      <t xml:space="preserve">Heeft de SOC-Manager een Visie geformuleerd voor het SOC en is deze goedgekeurd door Senior Management?
</t>
    </r>
    <r>
      <rPr>
        <i/>
        <sz val="11"/>
        <color theme="1"/>
        <rFont val="Arial"/>
        <family val="2"/>
      </rPr>
      <t>(Een visie geeft het SOC strategische richting en doelstellingen)</t>
    </r>
  </si>
  <si>
    <r>
      <t xml:space="preserve">Heeft de SOC-Manager een Missie geformuleerd voor het SOC en is deze goedgekeurd door Senior Management?
</t>
    </r>
    <r>
      <rPr>
        <i/>
        <sz val="11"/>
        <color theme="1"/>
        <rFont val="Arial"/>
        <family val="2"/>
      </rPr>
      <t>(Een missie beschrijft de kernactiviteiten en hoe deze bijdragen aan de visie. Een missie is meestal meer gericht op de korte termijn en beschrijft wat het SOC nu doet en waarom)</t>
    </r>
  </si>
  <si>
    <t>Heeft Senior Management specifieke eisen en wensen vastgelegd voor het SOC?</t>
  </si>
  <si>
    <t>Heeft Senior Management de risicobereidheid voor de organisatie gedefinieerd?</t>
  </si>
  <si>
    <t>Beschikt de organisatie over netwerk detectie faciliteiten?</t>
  </si>
  <si>
    <t>Kijk voor meer informatie over VSSR diensten op https://vssr.rijksapplicaties.nl/ of mail naar vssr.info@minjenv.nl</t>
  </si>
  <si>
    <t>Gebruiksaanwijzing</t>
  </si>
  <si>
    <t>Omvang organisatie</t>
  </si>
  <si>
    <t xml:space="preserve">Organisatiespecifieke inschattingsdetails voor generieke SOC monitoring </t>
  </si>
  <si>
    <t>Wat is de omvang van het serverpark?</t>
  </si>
  <si>
    <t>Indicatie operationele kosten SOC-dienst (Jaarlijks, Exclusief BTW)</t>
  </si>
  <si>
    <t>Risico Register</t>
  </si>
  <si>
    <t>Beschikt de organisatie over een overzicht van actuele security risico's?</t>
  </si>
  <si>
    <t>Beschikt de organisatie over een overzicht van security security controls (mitigerende maatregelen)?</t>
  </si>
  <si>
    <t>Beschikt de organisatie over processen en procedures voor incident response</t>
  </si>
  <si>
    <r>
      <t xml:space="preserve">Is het SOC onafhankelijk gepositioneerd van de beheerorganisatie?
</t>
    </r>
    <r>
      <rPr>
        <i/>
        <sz val="11"/>
        <color theme="1"/>
        <rFont val="Arial"/>
        <family val="2"/>
      </rPr>
      <t>(Bij een onafhankelijk SOC rapporteert de SOC-manager, over het algemeen, direct aan de CISO)</t>
    </r>
  </si>
  <si>
    <t>Analyse?</t>
  </si>
  <si>
    <t>ja</t>
  </si>
  <si>
    <t>nee</t>
  </si>
  <si>
    <t>Is de duur van de overeenkomst vastgesteld voor de gewenste SOC-dienstverlening of producten/oplossingen?</t>
  </si>
  <si>
    <t>Heeft de organisatie al zicht op de financiele omvang van de gewenste SOC dientsverlening of producten/oplossingen?</t>
  </si>
  <si>
    <t>Doelgroep</t>
  </si>
  <si>
    <t>Bron</t>
  </si>
  <si>
    <t>Url.</t>
  </si>
  <si>
    <t>GAP op basis van vragenlijst?</t>
  </si>
  <si>
    <t>Deze factsheet richt zich op de directie, het bestuur, het management en de CISO van 
organisaties die zicht en grip willen krijgen op de risico’s die horen bij het werken met 
informatie.</t>
  </si>
  <si>
    <t>NCSC</t>
  </si>
  <si>
    <t>Uitwijk en herstelplan</t>
  </si>
  <si>
    <t>Cyberbewustwording</t>
  </si>
  <si>
    <t>https://www.ncsc.nl/documenten/publicaties/2019/mei/01/handreiking-voor-implementatie-van-detectie-oplossingen</t>
  </si>
  <si>
    <t>Implementatie van detectieoplossingen</t>
  </si>
  <si>
    <r>
      <t xml:space="preserve">Heeft de SOC-Manager een Target Operating Model (TOM), of vergelijkbaar model, gedefinieerd?
</t>
    </r>
    <r>
      <rPr>
        <i/>
        <sz val="11"/>
        <color theme="1"/>
        <rFont val="Arial"/>
        <family val="2"/>
      </rPr>
      <t>(Het TOM beschrijft hoe een organisatie haar mensen, informatie, processen en technologie inzet om het SOC daadwerkelijk te realiseren)</t>
    </r>
  </si>
  <si>
    <t>Risicogestruurde SOC-Planning</t>
  </si>
  <si>
    <t>Vragenlijst onderwerp</t>
  </si>
  <si>
    <t>Naam + Bron</t>
  </si>
  <si>
    <t>Link naar kennisdocument(en) die handvatten kunnen bieden</t>
  </si>
  <si>
    <t>Min. Req.</t>
  </si>
  <si>
    <t>Min. Req.?</t>
  </si>
  <si>
    <t>M</t>
  </si>
  <si>
    <t>G</t>
  </si>
  <si>
    <t>Nvt.</t>
  </si>
  <si>
    <t>Stat. Min. Req.?</t>
  </si>
  <si>
    <t xml:space="preserve"> Min. Req. Status</t>
  </si>
  <si>
    <t>Min. Req. Status</t>
  </si>
  <si>
    <t>Min. Req. GAB</t>
  </si>
  <si>
    <t>Minimal Requirements</t>
  </si>
  <si>
    <t>Min. Req. Dashboard</t>
  </si>
  <si>
    <t>Het document “Security Operations Center en Security Policies” geeft organisaties houvast bij het opstellen van kaders en beleid voor inrichten van een Security Operations Center (SOC).</t>
  </si>
  <si>
    <t>Chief Information Security Officers (CISO)</t>
  </si>
  <si>
    <t>Senior Management op strategisch niveau, functionarissen die zijn belast met inrichting van de SOC-functie, projectleiders, architecten en security officers.</t>
  </si>
  <si>
    <t>Deel-Onderwerpen die aandacht vereisen</t>
  </si>
  <si>
    <t>Inhoud</t>
  </si>
  <si>
    <t>In dit document worden de strategische uitgangspunten beschreven om het juiste vertrekpunt te hebben voor het bouwen van een eigen SOC of het inkopen van SOC-dienstverlening.</t>
  </si>
  <si>
    <t>Kennisdocument met handvatten voor deelonderwerp?</t>
  </si>
  <si>
    <t>Op strategisch / tactisch niveau</t>
  </si>
  <si>
    <t>Voorziet in relevante handvatten voor deelonderwerp(en):</t>
  </si>
  <si>
    <t>Onderwerp(en)</t>
  </si>
  <si>
    <t>SOC Optimalisatie</t>
  </si>
  <si>
    <t>Toegevoegde waarde voor de organisatie?</t>
  </si>
  <si>
    <t>Organisatie niveau</t>
  </si>
  <si>
    <t>Risicogestuurd inrichten van detectie voor een SOC</t>
  </si>
  <si>
    <t>nvt.</t>
  </si>
  <si>
    <t>Basisscan Cyberweerbaarheid</t>
  </si>
  <si>
    <t>5 basisprincipes van veilig digitaal ondernemen</t>
  </si>
  <si>
    <t>Startende organisaties die de digitale weerbaarheid willen versterken</t>
  </si>
  <si>
    <t>Veilige instellingen voor apparatuur &amp; software</t>
  </si>
  <si>
    <t>Standaardinstellingen kunnen kwetsbaar zijn voor cyberdreigingen</t>
  </si>
  <si>
    <t>Hou je apparaten en software up-to-date</t>
  </si>
  <si>
    <t>Opstellen update-/patchbeleid</t>
  </si>
  <si>
    <t>Handvatten beschikbaar voor onderwerp?</t>
  </si>
  <si>
    <t>v1</t>
  </si>
  <si>
    <t>v2</t>
  </si>
  <si>
    <t>* Vraag die als minimale randvoorwaarde is gedefinieerd</t>
  </si>
  <si>
    <t xml:space="preserve">Stap 1: Beantwoord de vragen van boven naar beneden voor werkblad "Strategisch";
Stap 2: Beantwoord de vragen van boven naar beneden voor werkblad "Tactisch";
</t>
  </si>
  <si>
    <r>
      <rPr>
        <i/>
        <sz val="11"/>
        <color theme="1"/>
        <rFont val="Arial"/>
        <family val="2"/>
      </rPr>
      <t>Let op:
- Indien een vraag op basis van eerdere antwoorden niet relevant is wordt deze doorgestreept;
- Antwoorden op niet relevante vragen worden wel gebruikt voor het resultaat op werkblad "Dashboard", deze mogen dan ook niet worden verwijderd;
- Niet alle antwoorden zijn relevant voor de Gap analyse.</t>
    </r>
    <r>
      <rPr>
        <sz val="11"/>
        <color theme="1"/>
        <rFont val="Arial"/>
        <family val="2"/>
      </rPr>
      <t xml:space="preserve">
</t>
    </r>
  </si>
  <si>
    <t xml:space="preserve">Stap 3: Bekijk de resultaten op werkblad "Dashboard"
</t>
  </si>
  <si>
    <t>Document versie details</t>
  </si>
  <si>
    <t>Organisatie specifiek overzicht met geprioriteerde onderwerpen/randvoorwaarden die aandacht vereisen</t>
  </si>
  <si>
    <t>Ntb.</t>
  </si>
  <si>
    <t>Is de juiste expertise aanwezig binnen het (interne/externe) SOC-team om alle bijbehorende taken goed uit te kunnen voeren?</t>
  </si>
  <si>
    <t>Is er een (gestandaardiseerde) log audit policy opgenomen?</t>
  </si>
  <si>
    <t>Stap 4: Start met invulling te geven aan de randvoorwaarden die volgens de Quickscan, en eigen organisatie, aandacht vereisen</t>
  </si>
  <si>
    <t>Referentie bronnen die ondersteuning kunnen bieden ter voorbereiding op een SOC implementatie. De documenten staan op volgorden van de geadviseerde implementatie prioritering.</t>
  </si>
  <si>
    <t>Referentie bronnen op strategisch niveau</t>
  </si>
  <si>
    <t>Referentie bronnen op tactisch niveau</t>
  </si>
  <si>
    <t>Aanvullende bronnen die ondersteuning kunnen bieden</t>
  </si>
  <si>
    <t>Naam</t>
  </si>
  <si>
    <t>Link naar bronnen die handvatten kunnen bieden</t>
  </si>
  <si>
    <t>Op werkblad "Dashboard" worden de organisatie specifieke onderwerpen/randvoorwaarden die aandacht vereisen weergeven op volgorde van prioriteit. Bronnen die handvatten kunnen bieden om invulling te geven aan de randvoorwaarden zijn via de link te downloaden.</t>
  </si>
  <si>
    <r>
      <t xml:space="preserve">Op basis van de quickscan-uitkomst voorziet het dashboard in:
- Organisatiespecifieke  inschattingen ten aanzien van sourcing, SOC- &amp; CERT-teamleden, SOC service level en een </t>
    </r>
    <r>
      <rPr>
        <u/>
        <sz val="11"/>
        <color theme="1"/>
        <rFont val="Arial"/>
        <family val="2"/>
      </rPr>
      <t>indicatie</t>
    </r>
    <r>
      <rPr>
        <sz val="11"/>
        <color theme="1"/>
        <rFont val="Arial"/>
        <family val="2"/>
      </rPr>
      <t xml:space="preserve"> van de operationele kosten;
- Een Gap Analyse met randvoorwaarden die aandacht vereisen;
- Weergave van minimale randvoorwaarden en huidige status van de organisatie;
- Plan van Aanpak met prioritering van meest urgente randvoorwaarden;
- Referenties naar (VSSR) bronnen die handvatten geven om daadwerkelijk invulling te geven aan een randvoorwaarde.</t>
    </r>
  </si>
  <si>
    <t>ShadowTrackr</t>
  </si>
  <si>
    <t>ShadowTrackr is een tool om (online) aanvalsoppervlak te identificeren en monitoren</t>
  </si>
  <si>
    <t>Organisaties die het online aanvalsoppervlak in kaart willen brengen en monitoren</t>
  </si>
  <si>
    <t>https://www.cip-overheid.nl/media/djabtmgr/handreiking-kwetsbaarheidsscans-2021-05-03-versie-10.pdf</t>
  </si>
  <si>
    <t>Teams die zich op strategisch, tactisch of operationeel niveau bezighouden met kwetsbaarhedenscans</t>
  </si>
  <si>
    <t>Praktijkgerichte handreiking ter ondersteuning van de hele cyclus van kwetsbaarhedenscanning</t>
  </si>
  <si>
    <t>BZK/CIO Rijk</t>
  </si>
  <si>
    <r>
      <t xml:space="preserve">De SOC Readiness Quickscan is een self assessment met als doel om inzichtelijk te maken of een organisatie klaar is om SOC-dienstverlening te implementeren. De quickscan is laagdrempeling en helpt, gericht en effectief, met het in kaart brengen van voorbereidingen die nodig zijn om een SOC te realiseren. Deze quickscan is geen instrument om de volwassenheid of kwaliteit van een SOC te meten.
De quickscan bestaat uit vragen op stragisch &amp; tactisch niveau. Afhankelijk van de organisatie moeten de vragen worden beantwoord door organisatiebestuurder(s) en/of gedelegeerde leidinggevenden die veranwoordelijk zijn voor de sturing op stragisch &amp; tactisch niveau.
</t>
    </r>
    <r>
      <rPr>
        <sz val="11"/>
        <rFont val="Arial"/>
        <family val="2"/>
      </rPr>
      <t xml:space="preserve">De vragen hebben betrekking tot </t>
    </r>
    <r>
      <rPr>
        <u/>
        <sz val="11"/>
        <rFont val="Arial"/>
        <family val="2"/>
      </rPr>
      <t>minimale</t>
    </r>
    <r>
      <rPr>
        <sz val="11"/>
        <rFont val="Arial"/>
        <family val="2"/>
      </rPr>
      <t xml:space="preserve"> of </t>
    </r>
    <r>
      <rPr>
        <u/>
        <sz val="11"/>
        <rFont val="Arial"/>
        <family val="2"/>
      </rPr>
      <t>geadviseerde</t>
    </r>
    <r>
      <rPr>
        <sz val="11"/>
        <rFont val="Arial"/>
        <family val="2"/>
      </rPr>
      <t xml:space="preserve"> randvoorwaarden voor een SOC implementatie. Een minimale randvoorwaarde is minimaal vereist voor het afnemen van SOC-dienstverlening, een geadviseerde randvoorwaarde is bepalend voor een </t>
    </r>
    <r>
      <rPr>
        <u/>
        <sz val="11"/>
        <rFont val="Arial"/>
        <family val="2"/>
      </rPr>
      <t>optimale</t>
    </r>
    <r>
      <rPr>
        <sz val="11"/>
        <rFont val="Arial"/>
        <family val="2"/>
      </rPr>
      <t xml:space="preserve"> en </t>
    </r>
    <r>
      <rPr>
        <u/>
        <sz val="11"/>
        <rFont val="Arial"/>
        <family val="2"/>
      </rPr>
      <t>effectieve</t>
    </r>
    <r>
      <rPr>
        <sz val="11"/>
        <rFont val="Arial"/>
        <family val="2"/>
      </rPr>
      <t xml:space="preserve"> SOC-dienstverlening en/of eigen SOC-organisatie. Vragen die zijn gemarkeerd als een minimale randvoorwaarden zijn te herkennen aan het symbool * achter het antwoord.</t>
    </r>
    <r>
      <rPr>
        <sz val="11"/>
        <color theme="1"/>
        <rFont val="Arial"/>
        <family val="2"/>
      </rPr>
      <t xml:space="preserve">
</t>
    </r>
  </si>
  <si>
    <r>
      <t xml:space="preserve">Dit is een verdieping op de Quickscsan Readiness weergave. Het geeft per thema weer in hoeverre de organisatie is voorbereid op een SOC implementatie. Bij een 100% score is een organisatie zeer goed voorbereid.
Een minimale randvoorwaarde (rode lijn) is minimaal vereist voor het afnemen van SOC-dienstverlening. Alle overige </t>
    </r>
    <r>
      <rPr>
        <u/>
        <sz val="11"/>
        <rFont val="Arial"/>
        <family val="2"/>
      </rPr>
      <t>geadviseerde</t>
    </r>
    <r>
      <rPr>
        <sz val="11"/>
        <rFont val="Arial"/>
        <family val="2"/>
      </rPr>
      <t xml:space="preserve"> randvoorwaarde zijn bepalend voor een </t>
    </r>
    <r>
      <rPr>
        <u/>
        <sz val="11"/>
        <rFont val="Arial"/>
        <family val="2"/>
      </rPr>
      <t>optimale</t>
    </r>
    <r>
      <rPr>
        <sz val="11"/>
        <rFont val="Arial"/>
        <family val="2"/>
      </rPr>
      <t xml:space="preserve"> en </t>
    </r>
    <r>
      <rPr>
        <u/>
        <sz val="11"/>
        <rFont val="Arial"/>
        <family val="2"/>
      </rPr>
      <t>effectieve</t>
    </r>
    <r>
      <rPr>
        <sz val="11"/>
        <rFont val="Arial"/>
        <family val="2"/>
      </rPr>
      <t xml:space="preserve"> SOC-dienstverlening en/of eigen SOC-organisatie.</t>
    </r>
  </si>
  <si>
    <t>Beschikt de organisatie over een (intern of extern) SOC-team?</t>
  </si>
  <si>
    <t>Krijg inzicht in de digitale veiligheid van de organisatie</t>
  </si>
  <si>
    <t>Wil je weten waar jouw organisatie kwetsbaar is voor cyberaanvallen? Meld je dan aan voor de securitytest Red Teaming via de TIBER- en ART-raamwerken. Een Red Teamingtest is een geavanceerde securitytest door ethische hackers waarbij een cyberaanval op één of meerdere kritieke functies van een organisatie wordt gesimuleerd.</t>
  </si>
  <si>
    <t>De directie, het bestuur, het management en de CISO van 
organisaties die zicht willen krijgen op de risico’s die horen bij de organisatie.</t>
  </si>
  <si>
    <t>CIO Rijk</t>
  </si>
  <si>
    <t>https://rijksportaal.overheid-i.nl/organisaties/rijksbreed/nieuws/2024/03/test-je-organisatie-op-kwetsbaarheid-cyberaanvallen.html</t>
  </si>
  <si>
    <t>v2.1</t>
  </si>
  <si>
    <r>
      <t xml:space="preserve">- Vragen, waar nodig, aangevuld met begeleidende tekst;
</t>
    </r>
    <r>
      <rPr>
        <sz val="11"/>
        <rFont val="Arial"/>
        <family val="2"/>
      </rPr>
      <t>- Weergave van minimale randvoorwaarden die VSSR adviseert</t>
    </r>
    <r>
      <rPr>
        <sz val="11"/>
        <color theme="1"/>
        <rFont val="Arial"/>
        <family val="2"/>
      </rPr>
      <t>;
- Plan van Aanpak (PvA) met prioritering van meest urgente randvoorwaarden;
- Referenties naar (VSSR) bronnen die handvatten geven om daadwerkelijk invulling te geven aan een randvoorwaarde.</t>
    </r>
  </si>
  <si>
    <t>v2.2</t>
  </si>
  <si>
    <t>- Verduidelijking vraag werkblad Tactisch, Onderwerp: Organisatie, Deel-onderwerp: SOC-team;
- Ondersteunende informatie voor vraag werkblad Strategisch, Onderwerp:Risicobeheersing (Securitytest Red Teaming via de TIBER- en ART-raamwerken).</t>
  </si>
  <si>
    <t>- Tekstuele verbeteringen.</t>
  </si>
  <si>
    <t>v2.3</t>
  </si>
  <si>
    <t>Best practice voor kwetsbaarhedenbeheer binnen de organisatie</t>
  </si>
  <si>
    <t>Kwetsbaarhedenbeheer (Externe assets)</t>
  </si>
  <si>
    <t>Kwetsbaarhedenbeheer (Interne assets)</t>
  </si>
  <si>
    <t>v2.4</t>
  </si>
  <si>
    <t>Detectietechnieken en Use Case Kennisbank (DUCK)</t>
  </si>
  <si>
    <t>DUCK brengt specialisten samen en faciliteert gezamenlijke (snelle) ontwikkeling van kwalitatieve detectieregels</t>
  </si>
  <si>
    <t>Detectieregels</t>
  </si>
  <si>
    <t>Operationeel</t>
  </si>
  <si>
    <t>- Foutcorrectie weergave minimale randvoorwaarden werkblad "Dashboard"
- Referentie opgenomen naar VSSR bron die handvatten geeft voor intern kwetsbaarhedenbeheer</t>
  </si>
  <si>
    <t>https://www.ncsc.nl/wat-kun-je-zelf-doen/weerbaarheid/herkennen/hoe-breng-ik-mijn-te-beschermen-belangen-in-kaart</t>
  </si>
  <si>
    <t>Hoe breng ik mijn te beschermen belangen in kaart?</t>
  </si>
  <si>
    <t>Stappenplan in kaart brengen TBB's</t>
  </si>
  <si>
    <t>https://www.ncsc.nl/wat-kun-je-zelf-doen/routekaart-risicomanagement</t>
  </si>
  <si>
    <t>Routekaart risicomanagement</t>
  </si>
  <si>
    <t>De routekaart wordt gebruikt als referentiekader en biedt perspectief aan organisaties die hun digitale weerbaarheid op een passend niveau willen krijgen.</t>
  </si>
  <si>
    <t>Deze informatie richt zich op de directie, het bestuur, het management en de CISO van 
organisaties die zicht en grip willen krijgen op de risico’s die horen bij het werken met 
informatie.</t>
  </si>
  <si>
    <t>Routekaart risicomanagement (Risicobehandeling)</t>
  </si>
  <si>
    <t xml:space="preserve">Dit artikel beschrijft stapsgewijs de risicobehandelingsfase binnen het risicomanagementproces. </t>
  </si>
  <si>
    <t>https://www.ncsc.nl/wat-kun-je-zelf-doen/routekaart-risicomanagement/risicobehandeling</t>
  </si>
  <si>
    <t>Hoe breng ik mijn te beschermen belangen/kroonjuwelen in kaart?</t>
  </si>
  <si>
    <t>De Incident Response Readiness producten ondersteunen de organisatie bij het opstellen van beleid en de opvolging van SOC security meldingen binnen uw organisatie.</t>
  </si>
  <si>
    <t>Patch Management</t>
  </si>
  <si>
    <t>Beschikt de organisatie over een patchmanagement proces?</t>
  </si>
  <si>
    <t>Ondersteuning bij de voorbereidingen die nodig zijn voor het optimaal benutten van een SOC(-dienst)</t>
  </si>
  <si>
    <t>*</t>
  </si>
  <si>
    <t>Beschikt de organisatie over een correct en volledig gevulde CMDB (Inclusief applicaties)?</t>
  </si>
  <si>
    <t>Ondersteuning bij Platform- &amp; Applicatie Hardening, Malware Protection, Application Control, Log Audit Policies</t>
  </si>
  <si>
    <t>Startende  &amp; ervaren organisaties die de digitale weerbaarheid willen versterken</t>
  </si>
  <si>
    <t>Deze producten helpen bij het inrichten van de opvolging van SOC Security meldingen binnen uw organisatie.</t>
  </si>
  <si>
    <t>De HAVIK producten bieden handvatten voor het aanbesteden van monitoring- en detectiediensten</t>
  </si>
  <si>
    <t>Handvatten voor het aanbesteden van monitoring- en detectiediensten (HAVIK)</t>
  </si>
  <si>
    <t>Reserve tav. C!</t>
  </si>
  <si>
    <t>Reserve</t>
  </si>
  <si>
    <t>Oefenen Incident Response (Tabletops)</t>
  </si>
  <si>
    <t>Vinden er periodiek oefeningen plaats om de incidente response processen en proceduren te testen en de mensen trainen?</t>
  </si>
  <si>
    <t>Proces &amp; Mensen</t>
  </si>
  <si>
    <t>- Referentie opgenomen naar mini-producten ter ondersteuning voor SOC Operational Readiness (Bron: VSSR)
- Referentie opgenomen naar mini-producten ter ondersteuning voor Incident Management Readiness (Bron: VSSR)
- Referentie opgenomen naar VSSR bronnen Detectietechnieken en Use Case Kennisbank (DUCK)
- Uitbreiding van NCSC referenties die handvatten kunnen bieden ter voorbereiding op SOC dienstverlening</t>
  </si>
  <si>
    <t>Dashboardadvies</t>
  </si>
  <si>
    <t>Let op: Er zijn meer handvatten beschikbaar dan weergegeven. Advies is om eerste invulling te geven aan de nu weergegeven onderwerpen.</t>
  </si>
  <si>
    <t>Het CIRP beschrijft hoe de organisatie snel, effectief en gecoördineerd reageert op Cyber 
beveiligingsincidenten</t>
  </si>
  <si>
    <t>vertegenwoordigers en functionarissen betrokken bij informatiebeveiliging en voornamelijk zij die betrokken zijn bij Cybersecurity Incident Response en crisisbeheersing.</t>
  </si>
  <si>
    <t>SOC Readiness Quickscan - Versie 2.5</t>
  </si>
  <si>
    <t>v2.5</t>
  </si>
  <si>
    <t>https://www.ncsc.nl/soc/het-vertrekpunt-voor-een-soc#:~:text=</t>
  </si>
  <si>
    <t>SOC%20Strategische%20Aanbevelingen</t>
  </si>
  <si>
    <t>Incident%20Response%20Readiness</t>
  </si>
  <si>
    <t>Zoekterm</t>
  </si>
  <si>
    <t>Bron link</t>
  </si>
  <si>
    <t>https://www.ncsc.nl/basisprincipes/basisprincipe-3-bescherm-systemen-applicaties-en-apparaten</t>
  </si>
  <si>
    <t>https://www.ncsc.nl/basisprincipes/overzicht</t>
  </si>
  <si>
    <t>https://www.ncsc.nl/tools/basisscan-cyberweerbaarheid</t>
  </si>
  <si>
    <t>https://www.ncsc.nl/incidenten-en-herstellen/uitwijk-en-herstelplan</t>
  </si>
  <si>
    <t>https://www.ncsc.nl/security-awareness/cyberbewustwording</t>
  </si>
  <si>
    <t>- Referentie opgenomen naar het Cyber Incident Response Plan (CIRP) als hanvat voor Incident Management (Bron: VSSR)
- Referenties DTC aangepast naar NCSC</t>
  </si>
  <si>
    <t>SOC%20Readiness%20Assistance</t>
  </si>
  <si>
    <t>Strategische Aanbevelingen, onderdeel van "SOC Readiness Assistance"</t>
  </si>
  <si>
    <t>Incident Response beleidsvoorbeelden en templates, onderdeel van "Incident Response Readiness"</t>
  </si>
  <si>
    <t>Operational%20Readiness%20(Organisatie%20%26%20Proces)</t>
  </si>
  <si>
    <t>Security Policies, onderdeel van "SOC Readiness Assistance"</t>
  </si>
  <si>
    <t>SOC Operational Readiness (Organisatie &amp; Proces)</t>
  </si>
  <si>
    <t>SOC Operational Readiness (Configuratie &amp; Logging)</t>
  </si>
  <si>
    <t>Operational%20Readiness%20(Configuratie%20%26%20Logging)</t>
  </si>
  <si>
    <t>Voorbereiden op Incident Response, onderdeel van Incident Response Readiness</t>
  </si>
  <si>
    <t>Opstellen en/of controleren van een eigen Cyber Incident Response Plan (CIRP)</t>
  </si>
  <si>
    <t>HAVIK</t>
  </si>
  <si>
    <t>Publicatie via ncsc.nl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</si>
</sst>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sz val="11"/>
      <name val="Calibri"/>
      <family val="2"/>
      <scheme val="minor"/>
    </font>
    <font>
      <sz val="11"/>
      <color theme="1"/>
      <name val="Calibri"/>
      <family val="2"/>
    </font>
    <font>
      <b/>
      <sz val="11"/>
      <color rgb="FFFF0000"/>
      <name val="Calibri"/>
      <family val="2"/>
      <scheme val="minor"/>
    </font>
    <font>
      <u/>
      <sz val="11"/>
      <color theme="10"/>
      <name val="Calibri"/>
      <family val="2"/>
      <scheme val="minor"/>
    </font>
    <font>
      <b/>
      <i/>
      <u/>
      <sz val="18"/>
      <color theme="0"/>
      <name val="Arial"/>
      <family val="2"/>
    </font>
    <font>
      <b/>
      <i/>
      <u/>
      <sz val="26"/>
      <color theme="0"/>
      <name val="Calibri"/>
      <family val="2"/>
      <scheme val="minor"/>
    </font>
    <font>
      <sz val="11"/>
      <color theme="1"/>
      <name val="Arial"/>
      <family val="2"/>
    </font>
    <font>
      <sz val="11"/>
      <color theme="0"/>
      <name val="Arial"/>
      <family val="2"/>
    </font>
    <font>
      <b/>
      <sz val="11"/>
      <color theme="0"/>
      <name val="Arial"/>
      <family val="2"/>
    </font>
    <font>
      <sz val="11"/>
      <name val="Arial"/>
      <family val="2"/>
    </font>
    <font>
      <b/>
      <i/>
      <sz val="11"/>
      <color theme="1"/>
      <name val="Arial"/>
      <family val="2"/>
    </font>
    <font>
      <b/>
      <i/>
      <sz val="11"/>
      <name val="Arial"/>
      <family val="2"/>
    </font>
    <font>
      <i/>
      <sz val="11"/>
      <color theme="1"/>
      <name val="Arial"/>
      <family val="2"/>
    </font>
    <font>
      <sz val="11"/>
      <color rgb="FF76D2B6"/>
      <name val="Arial"/>
      <family val="2"/>
    </font>
    <font>
      <b/>
      <sz val="11"/>
      <name val="Arial"/>
      <family val="2"/>
    </font>
    <font>
      <u/>
      <sz val="11"/>
      <color theme="1"/>
      <name val="Arial"/>
      <family val="2"/>
    </font>
    <font>
      <u/>
      <sz val="11"/>
      <color theme="0"/>
      <name val="Arial"/>
      <family val="2"/>
    </font>
    <font>
      <sz val="14"/>
      <color theme="1"/>
      <name val="Calibri"/>
      <family val="2"/>
      <scheme val="minor"/>
    </font>
    <font>
      <sz val="11"/>
      <color theme="1" tint="0.34998626667073579"/>
      <name val="Calibri"/>
      <family val="2"/>
      <scheme val="minor"/>
    </font>
    <font>
      <i/>
      <sz val="11"/>
      <name val="Arial"/>
      <family val="2"/>
    </font>
    <font>
      <b/>
      <sz val="11"/>
      <color theme="1"/>
      <name val="Arial"/>
      <family val="2"/>
    </font>
    <font>
      <i/>
      <sz val="11"/>
      <color theme="1" tint="0.34998626667073579"/>
      <name val="Calibri"/>
      <family val="2"/>
      <scheme val="minor"/>
    </font>
    <font>
      <u/>
      <sz val="11"/>
      <name val="Arial"/>
      <family val="2"/>
    </font>
    <font>
      <sz val="11"/>
      <color rgb="FFFF0000"/>
      <name val="Arial"/>
      <family val="2"/>
    </font>
  </fonts>
  <fills count="16">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rgb="FF76D2B6"/>
        <bgColor indexed="64"/>
      </patternFill>
    </fill>
    <fill>
      <patternFill patternType="solid">
        <fgColor rgb="FF007BC7"/>
        <bgColor indexed="64"/>
      </patternFill>
    </fill>
    <fill>
      <patternFill patternType="solid">
        <fgColor rgb="FF1E91C3"/>
        <bgColor indexed="64"/>
      </patternFill>
    </fill>
    <fill>
      <patternFill patternType="solid">
        <fgColor rgb="FF3BA7BF"/>
        <bgColor indexed="64"/>
      </patternFill>
    </fill>
    <fill>
      <patternFill patternType="solid">
        <fgColor rgb="FF59BCBA"/>
        <bgColor indexed="64"/>
      </patternFill>
    </fill>
    <fill>
      <patternFill patternType="solid">
        <fgColor theme="0" tint="-0.249977111117893"/>
        <bgColor indexed="64"/>
      </patternFill>
    </fill>
    <fill>
      <patternFill patternType="solid">
        <fgColor theme="2"/>
        <bgColor indexed="64"/>
      </patternFill>
    </fill>
    <fill>
      <patternFill patternType="solid">
        <fgColor theme="0" tint="-4.9989318521683403E-2"/>
        <bgColor indexed="64"/>
      </patternFill>
    </fill>
    <fill>
      <patternFill patternType="solid">
        <fgColor rgb="FFE6E6E6"/>
        <bgColor indexed="64"/>
      </patternFill>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2">
    <xf numFmtId="0" fontId="0" fillId="0" borderId="0"/>
    <xf numFmtId="0" fontId="7" fillId="0" borderId="0" applyNumberFormat="0" applyFill="0" applyBorder="0" applyAlignment="0" applyProtection="0"/>
  </cellStyleXfs>
  <cellXfs count="219">
    <xf numFmtId="0" fontId="0" fillId="0" borderId="0" xfId="0"/>
    <xf numFmtId="0" fontId="0" fillId="0" borderId="0" xfId="0" applyAlignment="1">
      <alignment vertical="top" wrapText="1"/>
    </xf>
    <xf numFmtId="0" fontId="3" fillId="0" borderId="0" xfId="0" applyFont="1"/>
    <xf numFmtId="0" fontId="0" fillId="2" borderId="0" xfId="0" applyFill="1"/>
    <xf numFmtId="0" fontId="0" fillId="3" borderId="0" xfId="0" applyFill="1"/>
    <xf numFmtId="0" fontId="0" fillId="0" borderId="0" xfId="0" quotePrefix="1"/>
    <xf numFmtId="0" fontId="0" fillId="0" borderId="0" xfId="0" applyAlignment="1">
      <alignment horizontal="right"/>
    </xf>
    <xf numFmtId="9" fontId="0" fillId="0" borderId="0" xfId="0" applyNumberFormat="1"/>
    <xf numFmtId="0" fontId="0" fillId="5" borderId="0" xfId="0" applyFill="1"/>
    <xf numFmtId="0" fontId="4" fillId="0" borderId="0" xfId="0" applyFont="1"/>
    <xf numFmtId="0" fontId="1" fillId="4" borderId="0" xfId="0" applyFont="1" applyFill="1"/>
    <xf numFmtId="0" fontId="3" fillId="3" borderId="0" xfId="0" applyFont="1" applyFill="1"/>
    <xf numFmtId="0" fontId="1" fillId="5" borderId="0" xfId="0" applyFont="1" applyFill="1"/>
    <xf numFmtId="0" fontId="0" fillId="3" borderId="0" xfId="0" applyFill="1" applyAlignment="1">
      <alignment vertical="top" wrapText="1"/>
    </xf>
    <xf numFmtId="0" fontId="4" fillId="0" borderId="0" xfId="0" quotePrefix="1" applyFont="1"/>
    <xf numFmtId="9" fontId="4" fillId="0" borderId="0" xfId="0" applyNumberFormat="1" applyFont="1"/>
    <xf numFmtId="0" fontId="0" fillId="0" borderId="0" xfId="0" quotePrefix="1" applyAlignment="1">
      <alignment vertical="top" wrapText="1"/>
    </xf>
    <xf numFmtId="0" fontId="0" fillId="0" borderId="0" xfId="0" applyAlignment="1">
      <alignment horizontal="center"/>
    </xf>
    <xf numFmtId="3" fontId="0" fillId="0" borderId="0" xfId="0" quotePrefix="1" applyNumberFormat="1"/>
    <xf numFmtId="3" fontId="0" fillId="0" borderId="0" xfId="0" applyNumberFormat="1"/>
    <xf numFmtId="3" fontId="0" fillId="0" borderId="0" xfId="0" applyNumberFormat="1" applyAlignment="1">
      <alignment horizontal="right"/>
    </xf>
    <xf numFmtId="0" fontId="5" fillId="0" borderId="0" xfId="0" applyFont="1"/>
    <xf numFmtId="1" fontId="5" fillId="0" borderId="0" xfId="0" applyNumberFormat="1" applyFont="1"/>
    <xf numFmtId="0" fontId="0" fillId="0" borderId="0" xfId="0" applyAlignment="1">
      <alignment vertical="top"/>
    </xf>
    <xf numFmtId="0" fontId="6" fillId="0" borderId="0" xfId="0" applyFont="1" applyAlignment="1">
      <alignment vertical="top"/>
    </xf>
    <xf numFmtId="0" fontId="0" fillId="0" borderId="0" xfId="0" applyAlignment="1">
      <alignment horizontal="left"/>
    </xf>
    <xf numFmtId="3" fontId="0" fillId="0" borderId="0" xfId="0" quotePrefix="1" applyNumberFormat="1" applyAlignment="1">
      <alignment horizontal="left"/>
    </xf>
    <xf numFmtId="0" fontId="5" fillId="0" borderId="0" xfId="0" applyFont="1" applyAlignment="1">
      <alignment horizontal="right"/>
    </xf>
    <xf numFmtId="0" fontId="0" fillId="0" borderId="0" xfId="0" applyAlignment="1">
      <alignment wrapText="1"/>
    </xf>
    <xf numFmtId="0" fontId="1" fillId="5" borderId="0" xfId="0" applyFont="1" applyFill="1" applyAlignment="1">
      <alignment horizontal="center"/>
    </xf>
    <xf numFmtId="0" fontId="0" fillId="5" borderId="0" xfId="0" applyFill="1" applyAlignment="1">
      <alignment horizontal="center"/>
    </xf>
    <xf numFmtId="0" fontId="1" fillId="4" borderId="0" xfId="0" applyFont="1" applyFill="1" applyAlignment="1">
      <alignment horizontal="center"/>
    </xf>
    <xf numFmtId="0" fontId="3" fillId="0" borderId="0" xfId="0" applyFont="1" applyAlignment="1">
      <alignment horizontal="center"/>
    </xf>
    <xf numFmtId="0" fontId="0" fillId="0" borderId="0" xfId="0" applyAlignment="1">
      <alignment horizontal="left" vertical="top" wrapText="1"/>
    </xf>
    <xf numFmtId="1" fontId="0" fillId="0" borderId="0" xfId="0" applyNumberFormat="1"/>
    <xf numFmtId="0" fontId="0" fillId="0" borderId="0" xfId="0" applyAlignment="1">
      <alignment horizontal="center" vertical="top" wrapText="1"/>
    </xf>
    <xf numFmtId="0" fontId="0" fillId="0" borderId="2" xfId="0" applyBorder="1" applyAlignment="1">
      <alignment vertical="top" wrapText="1"/>
    </xf>
    <xf numFmtId="0" fontId="8" fillId="7" borderId="0" xfId="0" applyFont="1" applyFill="1"/>
    <xf numFmtId="0" fontId="0" fillId="7" borderId="0" xfId="0" applyFill="1"/>
    <xf numFmtId="0" fontId="9" fillId="8" borderId="0" xfId="0" applyFont="1" applyFill="1" applyAlignment="1">
      <alignment horizontal="right"/>
    </xf>
    <xf numFmtId="0" fontId="0" fillId="8" borderId="0" xfId="0" applyFill="1" applyAlignment="1">
      <alignment horizontal="right"/>
    </xf>
    <xf numFmtId="0" fontId="9" fillId="9" borderId="0" xfId="0" applyFont="1" applyFill="1" applyAlignment="1">
      <alignment horizontal="right"/>
    </xf>
    <xf numFmtId="0" fontId="0" fillId="9" borderId="0" xfId="0" applyFill="1" applyAlignment="1">
      <alignment horizontal="right"/>
    </xf>
    <xf numFmtId="0" fontId="0" fillId="10" borderId="0" xfId="0" applyFill="1"/>
    <xf numFmtId="0" fontId="0" fillId="6" borderId="0" xfId="0" applyFill="1"/>
    <xf numFmtId="0" fontId="12" fillId="8" borderId="0" xfId="0" applyFont="1" applyFill="1" applyAlignment="1">
      <alignment horizontal="left"/>
    </xf>
    <xf numFmtId="0" fontId="11" fillId="9" borderId="0" xfId="0" applyFont="1" applyFill="1" applyAlignment="1">
      <alignment horizontal="left"/>
    </xf>
    <xf numFmtId="0" fontId="9" fillId="7" borderId="0" xfId="0" applyFont="1" applyFill="1"/>
    <xf numFmtId="0" fontId="0" fillId="8" borderId="0" xfId="0" applyFill="1"/>
    <xf numFmtId="0" fontId="0" fillId="6" borderId="0" xfId="0" applyFill="1" applyAlignment="1">
      <alignment vertical="top" wrapText="1"/>
    </xf>
    <xf numFmtId="0" fontId="0" fillId="9" borderId="0" xfId="0" applyFill="1"/>
    <xf numFmtId="0" fontId="9" fillId="0" borderId="0" xfId="0" applyFont="1"/>
    <xf numFmtId="0" fontId="8" fillId="0" borderId="0" xfId="0" applyFont="1"/>
    <xf numFmtId="0" fontId="0" fillId="6" borderId="2" xfId="0" applyFill="1" applyBorder="1" applyAlignment="1">
      <alignment vertical="top" wrapText="1"/>
    </xf>
    <xf numFmtId="0" fontId="2" fillId="6" borderId="2" xfId="0" applyFont="1" applyFill="1" applyBorder="1" applyAlignment="1">
      <alignment vertical="top" wrapText="1"/>
    </xf>
    <xf numFmtId="0" fontId="14" fillId="6" borderId="1" xfId="0" applyFont="1" applyFill="1" applyBorder="1" applyAlignment="1" applyProtection="1">
      <alignment vertical="top" wrapText="1"/>
      <protection locked="0"/>
    </xf>
    <xf numFmtId="0" fontId="14" fillId="6" borderId="1" xfId="0" applyFont="1" applyFill="1" applyBorder="1" applyAlignment="1" applyProtection="1">
      <alignment horizontal="center" vertical="top" wrapText="1"/>
      <protection locked="0"/>
    </xf>
    <xf numFmtId="0" fontId="10" fillId="6" borderId="1" xfId="0" applyFont="1" applyFill="1" applyBorder="1" applyAlignment="1" applyProtection="1">
      <alignment vertical="top" wrapText="1"/>
      <protection locked="0"/>
    </xf>
    <xf numFmtId="0" fontId="10" fillId="6" borderId="1" xfId="0" applyFont="1" applyFill="1" applyBorder="1" applyAlignment="1" applyProtection="1">
      <alignment horizontal="center" vertical="top" wrapText="1"/>
      <protection locked="0"/>
    </xf>
    <xf numFmtId="0" fontId="15" fillId="6" borderId="1" xfId="0" applyFont="1" applyFill="1" applyBorder="1" applyAlignment="1" applyProtection="1">
      <alignment vertical="top" wrapText="1"/>
      <protection locked="0"/>
    </xf>
    <xf numFmtId="0" fontId="15" fillId="6" borderId="1" xfId="0" applyFont="1" applyFill="1" applyBorder="1" applyAlignment="1" applyProtection="1">
      <alignment horizontal="left" vertical="top" wrapText="1"/>
      <protection locked="0"/>
    </xf>
    <xf numFmtId="49" fontId="10" fillId="6" borderId="3" xfId="0" applyNumberFormat="1" applyFont="1" applyFill="1" applyBorder="1" applyAlignment="1" applyProtection="1">
      <alignment vertical="top" wrapText="1"/>
      <protection locked="0"/>
    </xf>
    <xf numFmtId="0" fontId="10" fillId="6" borderId="3" xfId="0" applyFont="1" applyFill="1" applyBorder="1" applyAlignment="1" applyProtection="1">
      <alignment vertical="top" wrapText="1"/>
      <protection locked="0"/>
    </xf>
    <xf numFmtId="0" fontId="10" fillId="6" borderId="3" xfId="0" applyFont="1" applyFill="1" applyBorder="1" applyAlignment="1" applyProtection="1">
      <alignment horizontal="center" vertical="top" wrapText="1"/>
      <protection locked="0"/>
    </xf>
    <xf numFmtId="49" fontId="10" fillId="6" borderId="1" xfId="0" applyNumberFormat="1" applyFont="1" applyFill="1" applyBorder="1" applyAlignment="1" applyProtection="1">
      <alignment vertical="top" wrapText="1"/>
      <protection locked="0"/>
    </xf>
    <xf numFmtId="0" fontId="10" fillId="6" borderId="0" xfId="0" applyFont="1" applyFill="1"/>
    <xf numFmtId="0" fontId="10" fillId="6" borderId="0" xfId="0" applyFont="1" applyFill="1" applyAlignment="1">
      <alignment wrapText="1"/>
    </xf>
    <xf numFmtId="0" fontId="10" fillId="6" borderId="0" xfId="0" applyFont="1" applyFill="1" applyAlignment="1">
      <alignment vertical="top" wrapText="1"/>
    </xf>
    <xf numFmtId="0" fontId="18" fillId="6" borderId="0" xfId="0" applyFont="1" applyFill="1"/>
    <xf numFmtId="0" fontId="18" fillId="6" borderId="0" xfId="0" applyFont="1" applyFill="1" applyAlignment="1">
      <alignment vertical="top" wrapText="1"/>
    </xf>
    <xf numFmtId="0" fontId="13" fillId="6" borderId="0" xfId="0" applyFont="1" applyFill="1" applyAlignment="1">
      <alignment vertical="top" wrapText="1"/>
    </xf>
    <xf numFmtId="0" fontId="13" fillId="6" borderId="0" xfId="0" quotePrefix="1" applyFont="1" applyFill="1" applyAlignment="1">
      <alignment vertical="top" wrapText="1"/>
    </xf>
    <xf numFmtId="0" fontId="10" fillId="6" borderId="0" xfId="0" applyFont="1" applyFill="1" applyAlignment="1">
      <alignment horizontal="left" vertical="top" wrapText="1"/>
    </xf>
    <xf numFmtId="0" fontId="13" fillId="6" borderId="1" xfId="0" applyFont="1" applyFill="1" applyBorder="1" applyAlignment="1">
      <alignment vertical="top" wrapText="1"/>
    </xf>
    <xf numFmtId="0" fontId="0" fillId="0" borderId="0" xfId="0" applyAlignment="1">
      <alignment horizontal="left" vertical="top"/>
    </xf>
    <xf numFmtId="0" fontId="0" fillId="0" borderId="0" xfId="0" applyAlignment="1">
      <alignment horizontal="center" vertical="top"/>
    </xf>
    <xf numFmtId="0" fontId="1" fillId="0" borderId="0" xfId="0" applyFont="1"/>
    <xf numFmtId="0" fontId="0" fillId="0" borderId="2" xfId="0" applyBorder="1" applyAlignment="1">
      <alignment horizontal="left" vertical="top"/>
    </xf>
    <xf numFmtId="0" fontId="0" fillId="0" borderId="2" xfId="0" applyBorder="1"/>
    <xf numFmtId="1" fontId="0" fillId="0" borderId="0" xfId="0" applyNumberFormat="1" applyAlignment="1">
      <alignment horizontal="center" vertical="top"/>
    </xf>
    <xf numFmtId="0" fontId="10" fillId="6" borderId="1" xfId="0" applyFont="1" applyFill="1" applyBorder="1" applyAlignment="1">
      <alignment horizontal="left" vertical="top" wrapText="1"/>
    </xf>
    <xf numFmtId="0" fontId="0" fillId="11" borderId="0" xfId="0" applyFill="1" applyAlignment="1">
      <alignment vertical="top" wrapText="1"/>
    </xf>
    <xf numFmtId="0" fontId="8" fillId="0" borderId="0" xfId="0" applyFont="1" applyAlignment="1">
      <alignment horizontal="center" vertical="top"/>
    </xf>
    <xf numFmtId="0" fontId="9" fillId="0" borderId="0" xfId="0" applyFont="1" applyAlignment="1">
      <alignment horizontal="center" vertical="top"/>
    </xf>
    <xf numFmtId="0" fontId="0" fillId="0" borderId="2" xfId="0" applyBorder="1" applyAlignment="1">
      <alignment horizontal="center" vertical="top" wrapText="1"/>
    </xf>
    <xf numFmtId="0" fontId="3" fillId="3" borderId="10" xfId="0" applyFont="1" applyFill="1" applyBorder="1"/>
    <xf numFmtId="0" fontId="3" fillId="3" borderId="11" xfId="0" applyFont="1" applyFill="1" applyBorder="1"/>
    <xf numFmtId="9" fontId="4" fillId="0" borderId="10" xfId="0" applyNumberFormat="1" applyFont="1" applyBorder="1"/>
    <xf numFmtId="9" fontId="4" fillId="0" borderId="11" xfId="0" applyNumberFormat="1" applyFont="1" applyBorder="1"/>
    <xf numFmtId="9" fontId="4" fillId="0" borderId="12" xfId="0" applyNumberFormat="1" applyFont="1" applyBorder="1"/>
    <xf numFmtId="9" fontId="4" fillId="0" borderId="2" xfId="0" applyNumberFormat="1" applyFont="1" applyBorder="1"/>
    <xf numFmtId="9" fontId="4" fillId="0" borderId="13" xfId="0" applyNumberFormat="1" applyFont="1" applyBorder="1"/>
    <xf numFmtId="9" fontId="0" fillId="0" borderId="10" xfId="0" applyNumberFormat="1" applyBorder="1"/>
    <xf numFmtId="9" fontId="0" fillId="0" borderId="11" xfId="0" applyNumberFormat="1" applyBorder="1"/>
    <xf numFmtId="9" fontId="0" fillId="0" borderId="12" xfId="0" applyNumberFormat="1" applyBorder="1"/>
    <xf numFmtId="9" fontId="0" fillId="0" borderId="2" xfId="0" applyNumberFormat="1" applyBorder="1"/>
    <xf numFmtId="9" fontId="0" fillId="0" borderId="13" xfId="0" applyNumberFormat="1" applyBorder="1"/>
    <xf numFmtId="0" fontId="0" fillId="11" borderId="0" xfId="0" applyFill="1" applyAlignment="1">
      <alignment textRotation="90" wrapText="1"/>
    </xf>
    <xf numFmtId="0" fontId="0" fillId="0" borderId="1" xfId="0" applyBorder="1" applyAlignment="1">
      <alignment horizontal="center" vertical="top" wrapText="1"/>
    </xf>
    <xf numFmtId="0" fontId="0" fillId="0" borderId="3" xfId="0" applyBorder="1" applyAlignment="1">
      <alignment horizontal="center" vertical="top" wrapText="1"/>
    </xf>
    <xf numFmtId="1" fontId="0" fillId="0" borderId="2" xfId="0" applyNumberFormat="1" applyBorder="1" applyAlignment="1">
      <alignment horizontal="center" vertical="top"/>
    </xf>
    <xf numFmtId="0" fontId="23" fillId="6" borderId="0" xfId="0" applyFont="1" applyFill="1"/>
    <xf numFmtId="1" fontId="0" fillId="12" borderId="2" xfId="0" applyNumberFormat="1" applyFill="1" applyBorder="1" applyAlignment="1">
      <alignment horizontal="center" vertical="top"/>
    </xf>
    <xf numFmtId="0" fontId="0" fillId="12" borderId="2" xfId="0" applyFill="1" applyBorder="1" applyAlignment="1">
      <alignment horizontal="left" vertical="top"/>
    </xf>
    <xf numFmtId="0" fontId="0" fillId="12" borderId="2" xfId="0" applyFill="1" applyBorder="1"/>
    <xf numFmtId="0" fontId="0" fillId="12" borderId="0" xfId="0" applyFill="1"/>
    <xf numFmtId="0" fontId="1" fillId="12" borderId="0" xfId="0" applyFont="1" applyFill="1" applyAlignment="1">
      <alignment vertical="top"/>
    </xf>
    <xf numFmtId="0" fontId="0" fillId="12" borderId="0" xfId="0" applyFill="1" applyAlignment="1">
      <alignment vertical="top"/>
    </xf>
    <xf numFmtId="0" fontId="0" fillId="12" borderId="0" xfId="0" applyFill="1" applyAlignment="1">
      <alignment vertical="top" wrapText="1"/>
    </xf>
    <xf numFmtId="0" fontId="0" fillId="12" borderId="0" xfId="0" applyFill="1" applyAlignment="1">
      <alignment wrapText="1"/>
    </xf>
    <xf numFmtId="0" fontId="0" fillId="12" borderId="0" xfId="0" applyFill="1" applyAlignment="1">
      <alignment horizontal="left" vertical="top" wrapText="1"/>
    </xf>
    <xf numFmtId="0" fontId="0" fillId="12" borderId="0" xfId="0" applyFill="1" applyAlignment="1">
      <alignment horizontal="left" vertical="top"/>
    </xf>
    <xf numFmtId="0" fontId="0" fillId="12" borderId="0" xfId="0" applyFill="1" applyAlignment="1">
      <alignment horizontal="center" vertical="top"/>
    </xf>
    <xf numFmtId="0" fontId="0" fillId="12" borderId="2" xfId="0" applyFill="1" applyBorder="1" applyAlignment="1">
      <alignment horizontal="center" vertical="top"/>
    </xf>
    <xf numFmtId="0" fontId="3" fillId="12" borderId="2" xfId="0" applyFont="1" applyFill="1" applyBorder="1" applyAlignment="1">
      <alignment horizontal="left" vertical="top"/>
    </xf>
    <xf numFmtId="0" fontId="3" fillId="12" borderId="2" xfId="0" applyFont="1" applyFill="1" applyBorder="1" applyAlignment="1">
      <alignment horizontal="left" vertical="top" wrapText="1"/>
    </xf>
    <xf numFmtId="0" fontId="3" fillId="12" borderId="2" xfId="0" applyFont="1" applyFill="1" applyBorder="1"/>
    <xf numFmtId="0" fontId="3" fillId="12" borderId="2" xfId="0" applyFont="1" applyFill="1" applyBorder="1" applyAlignment="1">
      <alignment horizontal="center" vertical="top"/>
    </xf>
    <xf numFmtId="1" fontId="0" fillId="12" borderId="15" xfId="0" applyNumberFormat="1" applyFill="1" applyBorder="1" applyAlignment="1">
      <alignment horizontal="center" vertical="top"/>
    </xf>
    <xf numFmtId="0" fontId="0" fillId="12" borderId="15" xfId="0" applyFill="1" applyBorder="1" applyAlignment="1">
      <alignment wrapText="1"/>
    </xf>
    <xf numFmtId="0" fontId="0" fillId="12" borderId="15" xfId="0" applyFill="1" applyBorder="1"/>
    <xf numFmtId="0" fontId="3" fillId="12" borderId="15" xfId="0" applyFont="1" applyFill="1" applyBorder="1" applyAlignment="1">
      <alignment horizontal="center" vertical="top"/>
    </xf>
    <xf numFmtId="0" fontId="3" fillId="12" borderId="15" xfId="0" applyFont="1" applyFill="1" applyBorder="1" applyAlignment="1">
      <alignment horizontal="left" vertical="top" wrapText="1"/>
    </xf>
    <xf numFmtId="0" fontId="3" fillId="12" borderId="15" xfId="0" applyFont="1" applyFill="1" applyBorder="1" applyAlignment="1">
      <alignment horizontal="left" vertical="top"/>
    </xf>
    <xf numFmtId="0" fontId="24" fillId="6" borderId="0" xfId="0" applyFont="1" applyFill="1" applyAlignment="1">
      <alignment horizontal="left" vertical="top"/>
    </xf>
    <xf numFmtId="0" fontId="16" fillId="6" borderId="0" xfId="0" applyFont="1" applyFill="1" applyAlignment="1">
      <alignment horizontal="left" vertical="top"/>
    </xf>
    <xf numFmtId="0" fontId="0" fillId="12" borderId="7" xfId="0" applyFill="1" applyBorder="1"/>
    <xf numFmtId="1" fontId="0" fillId="12" borderId="7" xfId="0" applyNumberFormat="1" applyFill="1" applyBorder="1" applyAlignment="1">
      <alignment horizontal="center" vertical="top"/>
    </xf>
    <xf numFmtId="0" fontId="0" fillId="12" borderId="7" xfId="0" applyFill="1" applyBorder="1" applyAlignment="1">
      <alignment horizontal="left" vertical="top"/>
    </xf>
    <xf numFmtId="0" fontId="0" fillId="12" borderId="7" xfId="0" applyFill="1" applyBorder="1" applyAlignment="1">
      <alignment horizontal="left" vertical="top" wrapText="1"/>
    </xf>
    <xf numFmtId="0" fontId="22" fillId="12" borderId="7" xfId="0" applyFont="1" applyFill="1" applyBorder="1" applyAlignment="1">
      <alignment horizontal="center" vertical="top"/>
    </xf>
    <xf numFmtId="0" fontId="22" fillId="12" borderId="7" xfId="0" applyFont="1" applyFill="1" applyBorder="1" applyAlignment="1">
      <alignment horizontal="left" vertical="top" wrapText="1"/>
    </xf>
    <xf numFmtId="0" fontId="0" fillId="2" borderId="3" xfId="0" applyFill="1" applyBorder="1" applyAlignment="1">
      <alignment horizontal="center" vertical="top" wrapText="1"/>
    </xf>
    <xf numFmtId="0" fontId="22" fillId="12" borderId="0" xfId="0" applyFont="1" applyFill="1" applyAlignment="1">
      <alignment horizontal="center" vertical="top"/>
    </xf>
    <xf numFmtId="0" fontId="25" fillId="12" borderId="2" xfId="0" applyFont="1" applyFill="1" applyBorder="1" applyAlignment="1">
      <alignment horizontal="center" vertical="top"/>
    </xf>
    <xf numFmtId="0" fontId="25" fillId="12" borderId="2" xfId="0" applyFont="1" applyFill="1" applyBorder="1" applyAlignment="1">
      <alignment horizontal="left" vertical="top" wrapText="1"/>
    </xf>
    <xf numFmtId="0" fontId="0" fillId="0" borderId="12" xfId="0" applyBorder="1" applyAlignment="1">
      <alignment horizontal="center" vertical="top" wrapText="1"/>
    </xf>
    <xf numFmtId="0" fontId="0" fillId="2" borderId="18" xfId="0" applyFill="1" applyBorder="1" applyAlignment="1">
      <alignment horizontal="center" vertical="top" wrapText="1"/>
    </xf>
    <xf numFmtId="0" fontId="0" fillId="0" borderId="18" xfId="0" applyBorder="1" applyAlignment="1">
      <alignment horizontal="center" wrapText="1"/>
    </xf>
    <xf numFmtId="0" fontId="0" fillId="0" borderId="4" xfId="0" applyBorder="1" applyAlignment="1">
      <alignment horizontal="center" vertical="top" wrapText="1"/>
    </xf>
    <xf numFmtId="0" fontId="0" fillId="0" borderId="21" xfId="0" applyBorder="1" applyAlignment="1">
      <alignment horizontal="center" vertical="top" wrapText="1"/>
    </xf>
    <xf numFmtId="0" fontId="0" fillId="0" borderId="18" xfId="0" applyBorder="1" applyAlignment="1">
      <alignment horizontal="center" vertical="top" wrapText="1"/>
    </xf>
    <xf numFmtId="0" fontId="0" fillId="0" borderId="19" xfId="0" applyBorder="1" applyAlignment="1">
      <alignment horizontal="center" vertical="top" wrapText="1"/>
    </xf>
    <xf numFmtId="0" fontId="10" fillId="6" borderId="0" xfId="0" quotePrefix="1" applyFont="1" applyFill="1" applyAlignment="1">
      <alignment wrapText="1"/>
    </xf>
    <xf numFmtId="0" fontId="10" fillId="6" borderId="0" xfId="0" applyFont="1" applyFill="1" applyAlignment="1">
      <alignment vertical="top"/>
    </xf>
    <xf numFmtId="0" fontId="21" fillId="11" borderId="0" xfId="0" applyFont="1" applyFill="1" applyAlignment="1">
      <alignment horizontal="center" vertical="center" textRotation="90" wrapText="1"/>
    </xf>
    <xf numFmtId="0" fontId="0" fillId="0" borderId="0" xfId="0" applyAlignment="1">
      <alignment horizontal="center" wrapText="1"/>
    </xf>
    <xf numFmtId="0" fontId="10" fillId="6" borderId="0" xfId="0" quotePrefix="1" applyFont="1" applyFill="1" applyAlignment="1">
      <alignment vertical="top" wrapText="1"/>
    </xf>
    <xf numFmtId="0" fontId="0" fillId="14" borderId="0" xfId="0" applyFill="1" applyAlignment="1">
      <alignment vertical="top" wrapText="1"/>
    </xf>
    <xf numFmtId="0" fontId="0" fillId="14" borderId="0" xfId="0" applyFill="1" applyAlignment="1">
      <alignment horizontal="center" vertical="top" wrapText="1"/>
    </xf>
    <xf numFmtId="0" fontId="0" fillId="14" borderId="0" xfId="0" applyFill="1"/>
    <xf numFmtId="0" fontId="0" fillId="14" borderId="0" xfId="0" applyFill="1" applyAlignment="1">
      <alignment horizontal="left" vertical="top" wrapText="1"/>
    </xf>
    <xf numFmtId="0" fontId="0" fillId="14" borderId="2" xfId="0" applyFill="1" applyBorder="1" applyAlignment="1">
      <alignment vertical="top" wrapText="1"/>
    </xf>
    <xf numFmtId="0" fontId="0" fillId="14" borderId="0" xfId="0" applyFill="1" applyAlignment="1">
      <alignment wrapText="1"/>
    </xf>
    <xf numFmtId="0" fontId="22" fillId="12" borderId="0" xfId="0" applyFont="1" applyFill="1" applyAlignment="1">
      <alignment horizontal="left" vertical="top"/>
    </xf>
    <xf numFmtId="0" fontId="13" fillId="6" borderId="1" xfId="0" applyFont="1" applyFill="1" applyBorder="1" applyAlignment="1" applyProtection="1">
      <alignment vertical="top" wrapText="1"/>
      <protection locked="0"/>
    </xf>
    <xf numFmtId="1" fontId="0" fillId="2" borderId="0" xfId="0" applyNumberFormat="1" applyFill="1" applyAlignment="1">
      <alignment horizontal="center" vertical="top"/>
    </xf>
    <xf numFmtId="1" fontId="0" fillId="2" borderId="7" xfId="0" applyNumberFormat="1" applyFill="1" applyBorder="1" applyAlignment="1">
      <alignment horizontal="center" vertical="top"/>
    </xf>
    <xf numFmtId="1" fontId="0" fillId="2" borderId="2" xfId="0" applyNumberFormat="1" applyFill="1" applyBorder="1" applyAlignment="1">
      <alignment horizontal="center" vertical="top"/>
    </xf>
    <xf numFmtId="1" fontId="0" fillId="2" borderId="15" xfId="0" applyNumberFormat="1" applyFill="1" applyBorder="1" applyAlignment="1">
      <alignment horizontal="center" vertical="top"/>
    </xf>
    <xf numFmtId="0" fontId="23" fillId="6" borderId="2" xfId="0" applyFont="1" applyFill="1" applyBorder="1" applyAlignment="1">
      <alignment vertical="top"/>
    </xf>
    <xf numFmtId="0" fontId="23" fillId="6" borderId="1" xfId="0" applyFont="1" applyFill="1" applyBorder="1" applyAlignment="1">
      <alignment vertical="top" wrapText="1"/>
    </xf>
    <xf numFmtId="0" fontId="0" fillId="2" borderId="2" xfId="0" applyFill="1" applyBorder="1" applyAlignment="1">
      <alignment horizontal="center" vertical="top" wrapText="1"/>
    </xf>
    <xf numFmtId="0" fontId="0" fillId="0" borderId="24" xfId="0" applyBorder="1" applyAlignment="1">
      <alignment horizontal="center" wrapText="1"/>
    </xf>
    <xf numFmtId="0" fontId="17" fillId="6" borderId="1" xfId="0" applyFont="1" applyFill="1" applyBorder="1" applyAlignment="1" applyProtection="1">
      <alignment horizontal="center" vertical="top" wrapText="1"/>
      <protection locked="0"/>
    </xf>
    <xf numFmtId="0" fontId="27" fillId="6" borderId="0" xfId="0" applyFont="1" applyFill="1" applyAlignment="1">
      <alignment horizontal="left" vertical="top" wrapText="1"/>
    </xf>
    <xf numFmtId="0" fontId="0" fillId="13" borderId="0" xfId="0" applyFill="1" applyAlignment="1">
      <alignment wrapText="1"/>
    </xf>
    <xf numFmtId="0" fontId="0" fillId="0" borderId="2" xfId="0" applyBorder="1" applyAlignment="1">
      <alignment wrapText="1"/>
    </xf>
    <xf numFmtId="0" fontId="0" fillId="15" borderId="3" xfId="0" applyFill="1" applyBorder="1" applyAlignment="1">
      <alignment horizontal="center" vertical="top" wrapText="1"/>
    </xf>
    <xf numFmtId="0" fontId="11" fillId="10" borderId="0" xfId="0" applyFont="1" applyFill="1"/>
    <xf numFmtId="0" fontId="10" fillId="6" borderId="4" xfId="0" applyFont="1" applyFill="1" applyBorder="1" applyAlignment="1">
      <alignment horizontal="left" vertical="top" wrapText="1"/>
    </xf>
    <xf numFmtId="0" fontId="10" fillId="6" borderId="6" xfId="0" applyFont="1" applyFill="1" applyBorder="1" applyAlignment="1">
      <alignment horizontal="left" vertical="top" wrapText="1"/>
    </xf>
    <xf numFmtId="0" fontId="10" fillId="6" borderId="5" xfId="0" applyFont="1" applyFill="1" applyBorder="1" applyAlignment="1">
      <alignment horizontal="left" vertical="top" wrapText="1"/>
    </xf>
    <xf numFmtId="0" fontId="10" fillId="6" borderId="0" xfId="0" applyFont="1" applyFill="1" applyAlignment="1">
      <alignment horizontal="left" vertical="top" wrapText="1"/>
    </xf>
    <xf numFmtId="0" fontId="27" fillId="6" borderId="7" xfId="0" applyFont="1" applyFill="1" applyBorder="1" applyAlignment="1">
      <alignment horizontal="left" vertical="top" wrapText="1"/>
    </xf>
    <xf numFmtId="0" fontId="20" fillId="10" borderId="0" xfId="1" applyFont="1" applyFill="1" applyAlignment="1">
      <alignment horizontal="center"/>
    </xf>
    <xf numFmtId="0" fontId="13" fillId="6" borderId="0" xfId="0" applyFont="1" applyFill="1" applyAlignment="1">
      <alignment horizontal="left" vertical="top" wrapText="1"/>
    </xf>
    <xf numFmtId="0" fontId="23" fillId="6" borderId="2" xfId="0" applyFont="1" applyFill="1" applyBorder="1" applyAlignment="1">
      <alignment horizontal="left"/>
    </xf>
    <xf numFmtId="0" fontId="13" fillId="6" borderId="1" xfId="0" applyFont="1" applyFill="1" applyBorder="1" applyAlignment="1">
      <alignment horizontal="left" vertical="top" wrapText="1"/>
    </xf>
    <xf numFmtId="0" fontId="16" fillId="6" borderId="0" xfId="0" applyFont="1" applyFill="1" applyAlignment="1">
      <alignment horizontal="left" vertical="top" wrapText="1"/>
    </xf>
    <xf numFmtId="0" fontId="23" fillId="6" borderId="0" xfId="0" applyFont="1" applyFill="1" applyAlignment="1">
      <alignment horizontal="left" vertical="top"/>
    </xf>
    <xf numFmtId="0" fontId="9" fillId="7" borderId="0" xfId="0" applyFont="1" applyFill="1" applyAlignment="1">
      <alignment horizontal="right"/>
    </xf>
    <xf numFmtId="0" fontId="0" fillId="7" borderId="0" xfId="0" applyFill="1" applyAlignment="1">
      <alignment horizontal="right"/>
    </xf>
    <xf numFmtId="0" fontId="9" fillId="7" borderId="0" xfId="0" applyFont="1" applyFill="1" applyAlignment="1">
      <alignment horizontal="center"/>
    </xf>
    <xf numFmtId="0" fontId="0" fillId="9" borderId="0" xfId="0" applyFill="1" applyAlignment="1">
      <alignment horizontal="center"/>
    </xf>
    <xf numFmtId="0" fontId="0" fillId="10" borderId="0" xfId="0" applyFill="1" applyAlignment="1">
      <alignment horizontal="center"/>
    </xf>
    <xf numFmtId="0" fontId="10" fillId="6" borderId="0" xfId="0" applyFont="1" applyFill="1" applyAlignment="1">
      <alignment horizontal="center"/>
    </xf>
    <xf numFmtId="0" fontId="20" fillId="10" borderId="0" xfId="1" applyFont="1" applyFill="1" applyAlignment="1">
      <alignment horizontal="center" wrapText="1"/>
    </xf>
    <xf numFmtId="0" fontId="10" fillId="6" borderId="0" xfId="0" quotePrefix="1" applyFont="1" applyFill="1" applyAlignment="1">
      <alignment horizontal="left" vertical="top" wrapText="1"/>
    </xf>
    <xf numFmtId="0" fontId="3" fillId="6" borderId="7" xfId="0" applyFont="1" applyFill="1" applyBorder="1" applyAlignment="1">
      <alignment horizontal="left" vertical="center"/>
    </xf>
    <xf numFmtId="0" fontId="3" fillId="6" borderId="0" xfId="0" applyFont="1" applyFill="1" applyAlignment="1">
      <alignment horizontal="left" vertical="center"/>
    </xf>
    <xf numFmtId="0" fontId="0" fillId="12" borderId="1" xfId="0" applyFill="1" applyBorder="1" applyAlignment="1">
      <alignment horizontal="center" textRotation="90" wrapText="1"/>
    </xf>
    <xf numFmtId="0" fontId="0" fillId="12" borderId="14" xfId="0" applyFill="1" applyBorder="1" applyAlignment="1">
      <alignment horizontal="center" textRotation="90" wrapText="1"/>
    </xf>
    <xf numFmtId="0" fontId="21" fillId="11" borderId="11" xfId="0" applyFont="1" applyFill="1" applyBorder="1" applyAlignment="1">
      <alignment horizontal="center" vertical="center" textRotation="90" wrapText="1"/>
    </xf>
    <xf numFmtId="0" fontId="0" fillId="0" borderId="16" xfId="0" applyBorder="1" applyAlignment="1">
      <alignment horizontal="center" textRotation="90" wrapText="1"/>
    </xf>
    <xf numFmtId="0" fontId="0" fillId="0" borderId="17" xfId="0" applyBorder="1" applyAlignment="1">
      <alignment horizontal="center" textRotation="90" wrapText="1"/>
    </xf>
    <xf numFmtId="0" fontId="10" fillId="6" borderId="1" xfId="0" applyFont="1" applyFill="1" applyBorder="1" applyAlignment="1" applyProtection="1">
      <alignment horizontal="left" vertical="top" wrapText="1"/>
      <protection locked="0"/>
    </xf>
    <xf numFmtId="0" fontId="12" fillId="8" borderId="0" xfId="0" applyFont="1" applyFill="1" applyAlignment="1">
      <alignment horizontal="left"/>
    </xf>
    <xf numFmtId="0" fontId="11" fillId="9" borderId="0" xfId="0" applyFont="1" applyFill="1" applyAlignment="1">
      <alignment horizontal="left"/>
    </xf>
    <xf numFmtId="0" fontId="0" fillId="6" borderId="0" xfId="0" applyFill="1" applyAlignment="1">
      <alignment horizontal="center"/>
    </xf>
    <xf numFmtId="0" fontId="0" fillId="12" borderId="4" xfId="0" applyFill="1" applyBorder="1" applyAlignment="1">
      <alignment horizontal="center" textRotation="90" wrapText="1"/>
    </xf>
    <xf numFmtId="0" fontId="0" fillId="12" borderId="20" xfId="0" applyFill="1" applyBorder="1" applyAlignment="1">
      <alignment horizontal="center" textRotation="90" wrapText="1"/>
    </xf>
    <xf numFmtId="0" fontId="0" fillId="13" borderId="22" xfId="0" applyFill="1" applyBorder="1" applyAlignment="1">
      <alignment horizontal="center" textRotation="90" wrapText="1"/>
    </xf>
    <xf numFmtId="0" fontId="0" fillId="13" borderId="23" xfId="0" applyFill="1" applyBorder="1" applyAlignment="1">
      <alignment horizontal="center" textRotation="90" wrapText="1"/>
    </xf>
    <xf numFmtId="0" fontId="0" fillId="13" borderId="3" xfId="0" applyFill="1" applyBorder="1" applyAlignment="1">
      <alignment horizontal="center" textRotation="90" wrapText="1"/>
    </xf>
    <xf numFmtId="0" fontId="0" fillId="13" borderId="26" xfId="0" applyFill="1" applyBorder="1" applyAlignment="1">
      <alignment horizontal="center" textRotation="90" wrapText="1"/>
    </xf>
    <xf numFmtId="0" fontId="0" fillId="13" borderId="25" xfId="0" applyFill="1" applyBorder="1" applyAlignment="1">
      <alignment horizontal="center" textRotation="90" wrapText="1"/>
    </xf>
    <xf numFmtId="0" fontId="0" fillId="13" borderId="27" xfId="0" applyFill="1" applyBorder="1" applyAlignment="1">
      <alignment horizontal="center" textRotation="90" wrapText="1"/>
    </xf>
    <xf numFmtId="0" fontId="0" fillId="13" borderId="1" xfId="0" applyFill="1" applyBorder="1" applyAlignment="1">
      <alignment horizontal="center" textRotation="90" wrapText="1"/>
    </xf>
    <xf numFmtId="0" fontId="0" fillId="11" borderId="0" xfId="0" applyFill="1" applyAlignment="1">
      <alignment horizontal="center"/>
    </xf>
    <xf numFmtId="0" fontId="10" fillId="6" borderId="22" xfId="0" applyFont="1" applyFill="1" applyBorder="1" applyAlignment="1" applyProtection="1">
      <alignment vertical="top" wrapText="1"/>
      <protection locked="0"/>
    </xf>
    <xf numFmtId="0" fontId="10" fillId="6" borderId="23" xfId="0" applyFont="1" applyFill="1" applyBorder="1" applyAlignment="1" applyProtection="1">
      <alignment vertical="top" wrapText="1"/>
      <protection locked="0"/>
    </xf>
    <xf numFmtId="0" fontId="10" fillId="6" borderId="3" xfId="0" applyFont="1" applyFill="1" applyBorder="1" applyAlignment="1" applyProtection="1">
      <alignment vertical="top" wrapText="1"/>
      <protection locked="0"/>
    </xf>
    <xf numFmtId="0" fontId="10" fillId="6" borderId="22" xfId="0" applyFont="1" applyFill="1" applyBorder="1" applyAlignment="1" applyProtection="1">
      <alignment horizontal="left" vertical="top" wrapText="1"/>
      <protection locked="0"/>
    </xf>
    <xf numFmtId="0" fontId="10" fillId="6" borderId="23" xfId="0" applyFont="1" applyFill="1" applyBorder="1" applyAlignment="1" applyProtection="1">
      <alignment horizontal="left" vertical="top" wrapText="1"/>
      <protection locked="0"/>
    </xf>
    <xf numFmtId="0" fontId="10" fillId="6" borderId="3" xfId="0" applyFont="1" applyFill="1" applyBorder="1" applyAlignment="1" applyProtection="1">
      <alignment horizontal="left" vertical="top" wrapText="1"/>
      <protection locked="0"/>
    </xf>
    <xf numFmtId="0" fontId="1" fillId="4" borderId="8" xfId="0" applyFont="1" applyFill="1" applyBorder="1" applyAlignment="1">
      <alignment horizontal="center"/>
    </xf>
    <xf numFmtId="0" fontId="1" fillId="4" borderId="7" xfId="0" applyFont="1" applyFill="1" applyBorder="1" applyAlignment="1">
      <alignment horizontal="center"/>
    </xf>
    <xf numFmtId="0" fontId="1" fillId="4" borderId="9" xfId="0" applyFont="1" applyFill="1" applyBorder="1" applyAlignment="1">
      <alignment horizontal="center"/>
    </xf>
  </cellXfs>
  <cellStyles count="2">
    <cellStyle name="Hyperlink" xfId="1" builtinId="8"/>
    <cellStyle name="Standaard" xfId="0" builtinId="0"/>
  </cellStyles>
  <dxfs count="14">
    <dxf>
      <font>
        <color theme="0"/>
      </font>
      <fill>
        <patternFill>
          <bgColor theme="5"/>
        </patternFill>
      </fill>
    </dxf>
    <dxf>
      <font>
        <strike/>
      </font>
    </dxf>
    <dxf>
      <font>
        <strike/>
      </font>
    </dxf>
    <dxf>
      <font>
        <strike/>
      </font>
    </dxf>
    <dxf>
      <font>
        <strike/>
      </font>
    </dxf>
    <dxf>
      <font>
        <strike/>
      </font>
    </dxf>
    <dxf>
      <font>
        <strike/>
      </font>
    </dxf>
    <dxf>
      <font>
        <strike/>
      </font>
    </dxf>
    <dxf>
      <font>
        <color theme="0"/>
      </font>
      <fill>
        <patternFill>
          <bgColor theme="5"/>
        </patternFill>
      </fill>
    </dxf>
    <dxf>
      <font>
        <color theme="1"/>
      </font>
    </dxf>
    <dxf>
      <font>
        <strike/>
        <color auto="1"/>
      </font>
    </dxf>
    <dxf>
      <font>
        <strike/>
        <color auto="1"/>
      </font>
    </dxf>
    <dxf>
      <font>
        <strike/>
        <color auto="1"/>
      </font>
    </dxf>
    <dxf>
      <font>
        <color rgb="FF76D2B6"/>
      </font>
      <border>
        <left/>
        <right/>
        <top/>
        <bottom/>
        <vertical/>
        <horizontal/>
      </border>
    </dxf>
  </dxfs>
  <tableStyles count="0" defaultTableStyle="TableStyleMedium2" defaultPivotStyle="PivotStyleLight16"/>
  <colors>
    <mruColors>
      <color rgb="FFE6E6E6"/>
      <color rgb="FF76D2B6"/>
      <color rgb="FF59BCBA"/>
      <color rgb="FF3BA7BF"/>
      <color rgb="FF1E91C3"/>
      <color rgb="FF007B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00693683585623"/>
          <c:y val="0.120434252984347"/>
          <c:w val="0.85896418385774009"/>
          <c:h val="0.62557792492730413"/>
        </c:manualLayout>
      </c:layout>
      <c:barChart>
        <c:barDir val="bar"/>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nl-NL"/>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'Samenvatting-Data'!$D$2:$D$3</c:f>
              <c:strCache>
                <c:ptCount val="2"/>
                <c:pt idx="0">
                  <c:v>Tactisch</c:v>
                </c:pt>
                <c:pt idx="1">
                  <c:v>Strategisch</c:v>
                </c:pt>
              </c:strCache>
            </c:strRef>
          </c:cat>
          <c:val>
            <c:numRef>
              <c:f>'Samenvatting-Data'!$F$2:$F$3</c:f>
              <c:numCache>
                <c:formatCode>0%</c:formatCode>
                <c:ptCount val="2"/>
                <c:pt idx="0">
                  <c:v>0</c:v>
                </c:pt>
                <c:pt idx="1">
                  <c:v>0</c:v>
                </c:pt>
              </c:numCache>
            </c:numRef>
          </c:val>
          <c:extLst>
            <c:ext xmlns:c16="http://schemas.microsoft.com/office/drawing/2014/chart" uri="{C3380CC4-5D6E-409C-BE32-E72D297353CC}">
              <c16:uniqueId val="{00000000-D9EE-4E13-A393-D146B4E9D03F}"/>
            </c:ext>
          </c:extLst>
        </c:ser>
        <c:dLbls>
          <c:dLblPos val="inEnd"/>
          <c:showLegendKey val="0"/>
          <c:showVal val="1"/>
          <c:showCatName val="0"/>
          <c:showSerName val="0"/>
          <c:showPercent val="0"/>
          <c:showBubbleSize val="0"/>
        </c:dLbls>
        <c:gapWidth val="65"/>
        <c:axId val="686981080"/>
        <c:axId val="686978128"/>
      </c:barChart>
      <c:catAx>
        <c:axId val="686981080"/>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400" b="1" i="0" u="none" strike="noStrike" kern="1200" cap="all" baseline="0">
                <a:solidFill>
                  <a:schemeClr val="bg1"/>
                </a:solidFill>
                <a:latin typeface="+mn-lt"/>
                <a:ea typeface="+mn-ea"/>
                <a:cs typeface="+mn-cs"/>
              </a:defRPr>
            </a:pPr>
            <a:endParaRPr lang="nl-NL"/>
          </a:p>
        </c:txPr>
        <c:crossAx val="686978128"/>
        <c:crosses val="autoZero"/>
        <c:auto val="1"/>
        <c:lblAlgn val="ctr"/>
        <c:lblOffset val="100"/>
        <c:noMultiLvlLbl val="0"/>
      </c:catAx>
      <c:valAx>
        <c:axId val="686978128"/>
        <c:scaling>
          <c:orientation val="minMax"/>
          <c:max val="1"/>
          <c:min val="0"/>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nl-NL"/>
          </a:p>
        </c:txPr>
        <c:crossAx val="686981080"/>
        <c:crosses val="autoZero"/>
        <c:crossBetween val="between"/>
        <c:majorUnit val="0.1"/>
        <c:minorUnit val="2.0000000000000004E-2"/>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12007004947935497"/>
          <c:y val="0.12171078137973154"/>
          <c:w val="0.85793007704274582"/>
          <c:h val="0.62160928312611141"/>
        </c:manualLayout>
      </c:layout>
      <c:barChart>
        <c:barDir val="bar"/>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nl-NL"/>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'Samenvatting-Data'!$D$2:$D$3</c:f>
              <c:strCache>
                <c:ptCount val="2"/>
                <c:pt idx="0">
                  <c:v>Tactisch</c:v>
                </c:pt>
                <c:pt idx="1">
                  <c:v>Strategisch</c:v>
                </c:pt>
              </c:strCache>
            </c:strRef>
          </c:cat>
          <c:val>
            <c:numRef>
              <c:f>'Samenvatting-Data'!$E$2:$E$3</c:f>
              <c:numCache>
                <c:formatCode>0%</c:formatCode>
                <c:ptCount val="2"/>
                <c:pt idx="0">
                  <c:v>0</c:v>
                </c:pt>
                <c:pt idx="1">
                  <c:v>0</c:v>
                </c:pt>
              </c:numCache>
            </c:numRef>
          </c:val>
          <c:extLst>
            <c:ext xmlns:c16="http://schemas.microsoft.com/office/drawing/2014/chart" uri="{C3380CC4-5D6E-409C-BE32-E72D297353CC}">
              <c16:uniqueId val="{00000000-46D1-47C7-8DF9-ABFDFCB99AC3}"/>
            </c:ext>
          </c:extLst>
        </c:ser>
        <c:dLbls>
          <c:dLblPos val="inEnd"/>
          <c:showLegendKey val="0"/>
          <c:showVal val="1"/>
          <c:showCatName val="0"/>
          <c:showSerName val="0"/>
          <c:showPercent val="0"/>
          <c:showBubbleSize val="0"/>
        </c:dLbls>
        <c:gapWidth val="65"/>
        <c:axId val="519485080"/>
        <c:axId val="519485736"/>
      </c:barChart>
      <c:catAx>
        <c:axId val="519485080"/>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400" b="1" i="0" u="none" strike="noStrike" kern="1200" cap="all" baseline="0">
                <a:solidFill>
                  <a:schemeClr val="bg1"/>
                </a:solidFill>
                <a:latin typeface="+mn-lt"/>
                <a:ea typeface="+mn-ea"/>
                <a:cs typeface="+mn-cs"/>
              </a:defRPr>
            </a:pPr>
            <a:endParaRPr lang="nl-NL"/>
          </a:p>
        </c:txPr>
        <c:crossAx val="519485736"/>
        <c:crosses val="autoZero"/>
        <c:auto val="1"/>
        <c:lblAlgn val="ctr"/>
        <c:lblOffset val="100"/>
        <c:noMultiLvlLbl val="0"/>
      </c:catAx>
      <c:valAx>
        <c:axId val="519485736"/>
        <c:scaling>
          <c:orientation val="minMax"/>
          <c:max val="1"/>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nl-NL"/>
          </a:p>
        </c:txPr>
        <c:crossAx val="519485080"/>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nl-N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1"/>
          <c:order val="0"/>
          <c:tx>
            <c:v>Minimale Randvoorwaarde</c:v>
          </c:tx>
          <c:spPr>
            <a:ln w="25400" cap="rnd" cmpd="sng" algn="ctr">
              <a:solidFill>
                <a:schemeClr val="accent2"/>
              </a:solidFill>
              <a:prstDash val="sysDot"/>
              <a:round/>
            </a:ln>
            <a:effectLst/>
          </c:spPr>
          <c:marker>
            <c:symbol val="circle"/>
            <c:size val="6"/>
            <c:spPr>
              <a:solidFill>
                <a:schemeClr val="accent2"/>
              </a:solidFill>
              <a:ln>
                <a:noFill/>
              </a:ln>
              <a:effectLst/>
            </c:spPr>
          </c:marker>
          <c:val>
            <c:numRef>
              <c:f>'Samenvatting-Data'!$N$8:$N$11</c:f>
              <c:numCache>
                <c:formatCode>0%</c:formatCode>
                <c:ptCount val="4"/>
                <c:pt idx="0">
                  <c:v>0.7</c:v>
                </c:pt>
                <c:pt idx="1">
                  <c:v>0.33333333333333331</c:v>
                </c:pt>
                <c:pt idx="2">
                  <c:v>0.16666666666666666</c:v>
                </c:pt>
                <c:pt idx="3">
                  <c:v>0.5</c:v>
                </c:pt>
              </c:numCache>
            </c:numRef>
          </c:val>
          <c:extLst>
            <c:ext xmlns:c16="http://schemas.microsoft.com/office/drawing/2014/chart" uri="{C3380CC4-5D6E-409C-BE32-E72D297353CC}">
              <c16:uniqueId val="{00000001-0908-44E7-A1C9-580C4B9EAA20}"/>
            </c:ext>
          </c:extLst>
        </c:ser>
        <c:ser>
          <c:idx val="0"/>
          <c:order val="1"/>
          <c:tx>
            <c:v>Resultaat</c:v>
          </c:tx>
          <c:spPr>
            <a:ln w="25400" cap="rnd" cmpd="sng" algn="ctr">
              <a:solidFill>
                <a:schemeClr val="accent1"/>
              </a:solidFill>
              <a:prstDash val="sysDot"/>
              <a:round/>
            </a:ln>
            <a:effectLst/>
          </c:spPr>
          <c:marker>
            <c:symbol val="circle"/>
            <c:size val="6"/>
            <c:spPr>
              <a:solidFill>
                <a:schemeClr val="accent1"/>
              </a:solidFill>
              <a:ln>
                <a:noFill/>
              </a:ln>
              <a:effectLst/>
            </c:spPr>
          </c:marker>
          <c:cat>
            <c:strRef>
              <c:f>'Samenvatting-Data'!$D$8:$D$11</c:f>
              <c:strCache>
                <c:ptCount val="4"/>
                <c:pt idx="0">
                  <c:v>SOC-Strategie</c:v>
                </c:pt>
                <c:pt idx="1">
                  <c:v>Sturing</c:v>
                </c:pt>
                <c:pt idx="2">
                  <c:v>Risicobeheersing</c:v>
                </c:pt>
                <c:pt idx="3">
                  <c:v>Informatiebeveiligingsbeleid</c:v>
                </c:pt>
              </c:strCache>
            </c:strRef>
          </c:cat>
          <c:val>
            <c:numRef>
              <c:f>'Samenvatting-Data'!$J$8:$J$11</c:f>
              <c:numCache>
                <c:formatCode>0%</c:formatCode>
                <c:ptCount val="4"/>
                <c:pt idx="0">
                  <c:v>0</c:v>
                </c:pt>
                <c:pt idx="1">
                  <c:v>0</c:v>
                </c:pt>
                <c:pt idx="2">
                  <c:v>0</c:v>
                </c:pt>
                <c:pt idx="3">
                  <c:v>0</c:v>
                </c:pt>
              </c:numCache>
            </c:numRef>
          </c:val>
          <c:extLst>
            <c:ext xmlns:c16="http://schemas.microsoft.com/office/drawing/2014/chart" uri="{C3380CC4-5D6E-409C-BE32-E72D297353CC}">
              <c16:uniqueId val="{00000000-C688-4148-8EB2-DA2F0804AD44}"/>
            </c:ext>
          </c:extLst>
        </c:ser>
        <c:dLbls>
          <c:showLegendKey val="0"/>
          <c:showVal val="0"/>
          <c:showCatName val="0"/>
          <c:showSerName val="0"/>
          <c:showPercent val="0"/>
          <c:showBubbleSize val="0"/>
        </c:dLbls>
        <c:axId val="362214288"/>
        <c:axId val="362219864"/>
      </c:radarChart>
      <c:catAx>
        <c:axId val="362214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62219864"/>
        <c:crosses val="autoZero"/>
        <c:auto val="1"/>
        <c:lblAlgn val="ctr"/>
        <c:lblOffset val="100"/>
        <c:noMultiLvlLbl val="0"/>
      </c:catAx>
      <c:valAx>
        <c:axId val="36221986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62214288"/>
        <c:crosses val="autoZero"/>
        <c:crossBetween val="between"/>
        <c:majorUnit val="0.25"/>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1"/>
          <c:order val="0"/>
          <c:tx>
            <c:v>Minimale Randvoorwaarde</c:v>
          </c:tx>
          <c:spPr>
            <a:ln w="28575" cap="rnd">
              <a:solidFill>
                <a:schemeClr val="accent2"/>
              </a:solidFill>
              <a:prstDash val="sysDot"/>
              <a:round/>
            </a:ln>
            <a:effectLst/>
          </c:spPr>
          <c:marker>
            <c:symbol val="none"/>
          </c:marker>
          <c:cat>
            <c:strLit>
              <c:ptCount val="4"/>
              <c:pt idx="0">
                <c:v>Organisatie</c:v>
              </c:pt>
              <c:pt idx="1">
                <c:v>Mensen</c:v>
              </c:pt>
              <c:pt idx="2">
                <c:v>Proces</c:v>
              </c:pt>
              <c:pt idx="3">
                <c:v>Technology</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'Samenvatting-Data'!$N$16:$N$20</c15:sqref>
                  </c15:fullRef>
                </c:ext>
              </c:extLst>
              <c:f>'Samenvatting-Data'!$N$16:$N$19</c:f>
              <c:numCache>
                <c:formatCode>0%</c:formatCode>
                <c:ptCount val="4"/>
                <c:pt idx="0">
                  <c:v>0.125</c:v>
                </c:pt>
                <c:pt idx="1">
                  <c:v>0.25</c:v>
                </c:pt>
                <c:pt idx="2">
                  <c:v>0.53846153846153844</c:v>
                </c:pt>
                <c:pt idx="3">
                  <c:v>0.2</c:v>
                </c:pt>
              </c:numCache>
            </c:numRef>
          </c:val>
          <c:extLst>
            <c:ext xmlns:c16="http://schemas.microsoft.com/office/drawing/2014/chart" uri="{C3380CC4-5D6E-409C-BE32-E72D297353CC}">
              <c16:uniqueId val="{00000000-E991-4FB6-8F17-82D1ACFA2256}"/>
            </c:ext>
          </c:extLst>
        </c:ser>
        <c:ser>
          <c:idx val="0"/>
          <c:order val="1"/>
          <c:tx>
            <c:v>Resultaat</c:v>
          </c:tx>
          <c:spPr>
            <a:ln w="28575" cap="rnd">
              <a:solidFill>
                <a:schemeClr val="accent1"/>
              </a:solidFill>
              <a:round/>
            </a:ln>
            <a:effectLst/>
          </c:spPr>
          <c:marker>
            <c:symbol val="none"/>
          </c:marker>
          <c:cat>
            <c:strRef>
              <c:extLst>
                <c:ext xmlns:c15="http://schemas.microsoft.com/office/drawing/2012/chart" uri="{02D57815-91ED-43cb-92C2-25804820EDAC}">
                  <c15:fullRef>
                    <c15:sqref>'Samenvatting-Data'!$D$16:$D$20</c15:sqref>
                  </c15:fullRef>
                </c:ext>
              </c:extLst>
              <c:f>'Samenvatting-Data'!$D$16:$D$19</c:f>
              <c:strCache>
                <c:ptCount val="4"/>
                <c:pt idx="0">
                  <c:v>Organisatie</c:v>
                </c:pt>
                <c:pt idx="1">
                  <c:v>Mensen</c:v>
                </c:pt>
                <c:pt idx="2">
                  <c:v>Proces</c:v>
                </c:pt>
                <c:pt idx="3">
                  <c:v>Technology</c:v>
                </c:pt>
              </c:strCache>
            </c:strRef>
          </c:cat>
          <c:val>
            <c:numRef>
              <c:extLst>
                <c:ext xmlns:c15="http://schemas.microsoft.com/office/drawing/2012/chart" uri="{02D57815-91ED-43cb-92C2-25804820EDAC}">
                  <c15:fullRef>
                    <c15:sqref>'Samenvatting-Data'!$J$16:$J$20</c15:sqref>
                  </c15:fullRef>
                </c:ext>
              </c:extLst>
              <c:f>'Samenvatting-Data'!$J$16:$J$19</c:f>
              <c:numCache>
                <c:formatCode>0%</c:formatCode>
                <c:ptCount val="4"/>
                <c:pt idx="0">
                  <c:v>0</c:v>
                </c:pt>
                <c:pt idx="1">
                  <c:v>0</c:v>
                </c:pt>
                <c:pt idx="2">
                  <c:v>0</c:v>
                </c:pt>
                <c:pt idx="3">
                  <c:v>0</c:v>
                </c:pt>
              </c:numCache>
            </c:numRef>
          </c:val>
          <c:extLst>
            <c:ext xmlns:c16="http://schemas.microsoft.com/office/drawing/2014/chart" uri="{C3380CC4-5D6E-409C-BE32-E72D297353CC}">
              <c16:uniqueId val="{00000000-F407-4BF6-908B-33212C0C4B73}"/>
            </c:ext>
          </c:extLst>
        </c:ser>
        <c:dLbls>
          <c:showLegendKey val="0"/>
          <c:showVal val="0"/>
          <c:showCatName val="0"/>
          <c:showSerName val="0"/>
          <c:showPercent val="0"/>
          <c:showBubbleSize val="0"/>
        </c:dLbls>
        <c:axId val="466993584"/>
        <c:axId val="466993912"/>
      </c:radarChart>
      <c:catAx>
        <c:axId val="466993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66993912"/>
        <c:crosses val="autoZero"/>
        <c:auto val="1"/>
        <c:lblAlgn val="ctr"/>
        <c:lblOffset val="100"/>
        <c:noMultiLvlLbl val="0"/>
      </c:catAx>
      <c:valAx>
        <c:axId val="46699391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66993584"/>
        <c:crosses val="autoZero"/>
        <c:crossBetween val="between"/>
        <c:majorUnit val="0.25"/>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Reversed" id="21">
  <a:schemeClr val="accent1"/>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31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
  <cs:dataPoint3D>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3D>
  <cs:dataPointLine>
    <cs:lnRef idx="0">
      <cs:styleClr val="auto"/>
    </cs:lnRef>
    <cs:fillRef idx="0"/>
    <cs:effectRef idx="0"/>
    <cs:fontRef idx="minor">
      <a:schemeClr val="tx1"/>
    </cs:fontRef>
    <cs:spPr>
      <a:ln w="25400" cap="rnd" cmpd="sng" algn="ctr">
        <a:solidFill>
          <a:schemeClr val="phClr"/>
        </a:solidFill>
        <a:prstDash val="sysDot"/>
        <a:round/>
      </a:ln>
    </cs:spPr>
  </cs:dataPointLine>
  <cs:dataPointMarker>
    <cs:lnRef idx="0">
      <cs:styleClr val="auto"/>
    </cs:lnRef>
    <cs:fillRef idx="0">
      <cs:styleClr val="auto"/>
    </cs:fillRef>
    <cs:effectRef idx="0"/>
    <cs:fontRef idx="minor">
      <a:schemeClr val="tx1"/>
    </cs:fontRef>
    <cs:spPr>
      <a:solidFill>
        <a:schemeClr val="phClr"/>
      </a:solidFill>
    </cs:spPr>
  </cs:dataPointMarker>
  <cs:dataPointMarkerLayout symbol="circle" size="6"/>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156884</xdr:colOff>
      <xdr:row>1</xdr:row>
      <xdr:rowOff>67236</xdr:rowOff>
    </xdr:from>
    <xdr:to>
      <xdr:col>3</xdr:col>
      <xdr:colOff>2063127</xdr:colOff>
      <xdr:row>2</xdr:row>
      <xdr:rowOff>19</xdr:rowOff>
    </xdr:to>
    <xdr:pic>
      <xdr:nvPicPr>
        <xdr:cNvPr id="3" name="Afbeelding 2">
          <a:extLst>
            <a:ext uri="{FF2B5EF4-FFF2-40B4-BE49-F238E27FC236}">
              <a16:creationId xmlns:a16="http://schemas.microsoft.com/office/drawing/2014/main" id="{30E1211B-4D0D-D4CC-60D2-496F7870F852}"/>
            </a:ext>
          </a:extLst>
        </xdr:cNvPr>
        <xdr:cNvPicPr>
          <a:picLocks noChangeAspect="1"/>
        </xdr:cNvPicPr>
      </xdr:nvPicPr>
      <xdr:blipFill>
        <a:blip xmlns:r="http://schemas.openxmlformats.org/officeDocument/2006/relationships" r:embed="rId1"/>
        <a:stretch>
          <a:fillRect/>
        </a:stretch>
      </xdr:blipFill>
      <xdr:spPr>
        <a:xfrm>
          <a:off x="728384" y="638736"/>
          <a:ext cx="2613894" cy="14567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38420</xdr:colOff>
      <xdr:row>16</xdr:row>
      <xdr:rowOff>23852</xdr:rowOff>
    </xdr:from>
    <xdr:to>
      <xdr:col>7</xdr:col>
      <xdr:colOff>5701393</xdr:colOff>
      <xdr:row>22</xdr:row>
      <xdr:rowOff>40821</xdr:rowOff>
    </xdr:to>
    <xdr:graphicFrame macro="">
      <xdr:nvGraphicFramePr>
        <xdr:cNvPr id="2" name="Grafiek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36020</xdr:colOff>
      <xdr:row>8</xdr:row>
      <xdr:rowOff>76839</xdr:rowOff>
    </xdr:from>
    <xdr:to>
      <xdr:col>7</xdr:col>
      <xdr:colOff>5714999</xdr:colOff>
      <xdr:row>14</xdr:row>
      <xdr:rowOff>81642</xdr:rowOff>
    </xdr:to>
    <xdr:graphicFrame macro="">
      <xdr:nvGraphicFramePr>
        <xdr:cNvPr id="3" name="Grafiek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0</xdr:colOff>
      <xdr:row>27</xdr:row>
      <xdr:rowOff>0</xdr:rowOff>
    </xdr:from>
    <xdr:to>
      <xdr:col>5</xdr:col>
      <xdr:colOff>3306535</xdr:colOff>
      <xdr:row>42</xdr:row>
      <xdr:rowOff>0</xdr:rowOff>
    </xdr:to>
    <xdr:graphicFrame macro="">
      <xdr:nvGraphicFramePr>
        <xdr:cNvPr id="4" name="Grafiek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xdr:colOff>
      <xdr:row>26</xdr:row>
      <xdr:rowOff>190499</xdr:rowOff>
    </xdr:from>
    <xdr:to>
      <xdr:col>7</xdr:col>
      <xdr:colOff>5681384</xdr:colOff>
      <xdr:row>41</xdr:row>
      <xdr:rowOff>180974</xdr:rowOff>
    </xdr:to>
    <xdr:graphicFrame macro="">
      <xdr:nvGraphicFramePr>
        <xdr:cNvPr id="5" name="Grafiek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156884</xdr:colOff>
      <xdr:row>1</xdr:row>
      <xdr:rowOff>67236</xdr:rowOff>
    </xdr:from>
    <xdr:to>
      <xdr:col>3</xdr:col>
      <xdr:colOff>43827</xdr:colOff>
      <xdr:row>2</xdr:row>
      <xdr:rowOff>19</xdr:rowOff>
    </xdr:to>
    <xdr:pic>
      <xdr:nvPicPr>
        <xdr:cNvPr id="8" name="Afbeelding 7">
          <a:extLst>
            <a:ext uri="{FF2B5EF4-FFF2-40B4-BE49-F238E27FC236}">
              <a16:creationId xmlns:a16="http://schemas.microsoft.com/office/drawing/2014/main" id="{53E9B134-E6DA-4556-A0E7-9DD6AF04E6AE}"/>
            </a:ext>
          </a:extLst>
        </xdr:cNvPr>
        <xdr:cNvPicPr>
          <a:picLocks noChangeAspect="1"/>
        </xdr:cNvPicPr>
      </xdr:nvPicPr>
      <xdr:blipFill>
        <a:blip xmlns:r="http://schemas.openxmlformats.org/officeDocument/2006/relationships" r:embed="rId5"/>
        <a:stretch>
          <a:fillRect/>
        </a:stretch>
      </xdr:blipFill>
      <xdr:spPr>
        <a:xfrm>
          <a:off x="728384" y="638736"/>
          <a:ext cx="2611093" cy="1456783"/>
        </a:xfrm>
        <a:prstGeom prst="rect">
          <a:avLst/>
        </a:prstGeom>
      </xdr:spPr>
    </xdr:pic>
    <xdr:clientData/>
  </xdr:twoCellAnchor>
  <xdr:twoCellAnchor editAs="oneCell">
    <xdr:from>
      <xdr:col>1</xdr:col>
      <xdr:colOff>156884</xdr:colOff>
      <xdr:row>1</xdr:row>
      <xdr:rowOff>67236</xdr:rowOff>
    </xdr:from>
    <xdr:to>
      <xdr:col>3</xdr:col>
      <xdr:colOff>43827</xdr:colOff>
      <xdr:row>2</xdr:row>
      <xdr:rowOff>19</xdr:rowOff>
    </xdr:to>
    <xdr:pic>
      <xdr:nvPicPr>
        <xdr:cNvPr id="9" name="Afbeelding 8">
          <a:extLst>
            <a:ext uri="{FF2B5EF4-FFF2-40B4-BE49-F238E27FC236}">
              <a16:creationId xmlns:a16="http://schemas.microsoft.com/office/drawing/2014/main" id="{F37C90A3-27D5-4925-8B9F-9AF7EA3BB3D4}"/>
            </a:ext>
          </a:extLst>
        </xdr:cNvPr>
        <xdr:cNvPicPr>
          <a:picLocks noChangeAspect="1"/>
        </xdr:cNvPicPr>
      </xdr:nvPicPr>
      <xdr:blipFill>
        <a:blip xmlns:r="http://schemas.openxmlformats.org/officeDocument/2006/relationships" r:embed="rId5"/>
        <a:stretch>
          <a:fillRect/>
        </a:stretch>
      </xdr:blipFill>
      <xdr:spPr>
        <a:xfrm>
          <a:off x="728384" y="638736"/>
          <a:ext cx="2611093" cy="14567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156884</xdr:colOff>
      <xdr:row>1</xdr:row>
      <xdr:rowOff>67236</xdr:rowOff>
    </xdr:from>
    <xdr:to>
      <xdr:col>3</xdr:col>
      <xdr:colOff>701052</xdr:colOff>
      <xdr:row>2</xdr:row>
      <xdr:rowOff>19</xdr:rowOff>
    </xdr:to>
    <xdr:pic>
      <xdr:nvPicPr>
        <xdr:cNvPr id="2" name="Afbeelding 1">
          <a:extLst>
            <a:ext uri="{FF2B5EF4-FFF2-40B4-BE49-F238E27FC236}">
              <a16:creationId xmlns:a16="http://schemas.microsoft.com/office/drawing/2014/main" id="{876C3C66-D8B3-4A98-96F3-BDE87C29FB78}"/>
            </a:ext>
          </a:extLst>
        </xdr:cNvPr>
        <xdr:cNvPicPr>
          <a:picLocks noChangeAspect="1"/>
        </xdr:cNvPicPr>
      </xdr:nvPicPr>
      <xdr:blipFill>
        <a:blip xmlns:r="http://schemas.openxmlformats.org/officeDocument/2006/relationships" r:embed="rId1"/>
        <a:stretch>
          <a:fillRect/>
        </a:stretch>
      </xdr:blipFill>
      <xdr:spPr>
        <a:xfrm>
          <a:off x="728384" y="638736"/>
          <a:ext cx="2611093" cy="1456783"/>
        </a:xfrm>
        <a:prstGeom prst="rect">
          <a:avLst/>
        </a:prstGeom>
      </xdr:spPr>
    </xdr:pic>
    <xdr:clientData/>
  </xdr:twoCellAnchor>
  <xdr:twoCellAnchor editAs="oneCell">
    <xdr:from>
      <xdr:col>1</xdr:col>
      <xdr:colOff>156884</xdr:colOff>
      <xdr:row>1</xdr:row>
      <xdr:rowOff>67236</xdr:rowOff>
    </xdr:from>
    <xdr:to>
      <xdr:col>3</xdr:col>
      <xdr:colOff>701052</xdr:colOff>
      <xdr:row>2</xdr:row>
      <xdr:rowOff>19</xdr:rowOff>
    </xdr:to>
    <xdr:pic>
      <xdr:nvPicPr>
        <xdr:cNvPr id="3" name="Afbeelding 2">
          <a:extLst>
            <a:ext uri="{FF2B5EF4-FFF2-40B4-BE49-F238E27FC236}">
              <a16:creationId xmlns:a16="http://schemas.microsoft.com/office/drawing/2014/main" id="{029BF624-7AB0-447A-8748-02FC738898ED}"/>
            </a:ext>
          </a:extLst>
        </xdr:cNvPr>
        <xdr:cNvPicPr>
          <a:picLocks noChangeAspect="1"/>
        </xdr:cNvPicPr>
      </xdr:nvPicPr>
      <xdr:blipFill>
        <a:blip xmlns:r="http://schemas.openxmlformats.org/officeDocument/2006/relationships" r:embed="rId1"/>
        <a:stretch>
          <a:fillRect/>
        </a:stretch>
      </xdr:blipFill>
      <xdr:spPr>
        <a:xfrm>
          <a:off x="728384" y="638736"/>
          <a:ext cx="2611093" cy="1456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156884</xdr:colOff>
      <xdr:row>1</xdr:row>
      <xdr:rowOff>67236</xdr:rowOff>
    </xdr:from>
    <xdr:to>
      <xdr:col>3</xdr:col>
      <xdr:colOff>910602</xdr:colOff>
      <xdr:row>2</xdr:row>
      <xdr:rowOff>19</xdr:rowOff>
    </xdr:to>
    <xdr:pic>
      <xdr:nvPicPr>
        <xdr:cNvPr id="2" name="Afbeelding 1">
          <a:extLst>
            <a:ext uri="{FF2B5EF4-FFF2-40B4-BE49-F238E27FC236}">
              <a16:creationId xmlns:a16="http://schemas.microsoft.com/office/drawing/2014/main" id="{65CD0AB3-7610-465B-B4A2-2BF63B150B5D}"/>
            </a:ext>
          </a:extLst>
        </xdr:cNvPr>
        <xdr:cNvPicPr>
          <a:picLocks noChangeAspect="1"/>
        </xdr:cNvPicPr>
      </xdr:nvPicPr>
      <xdr:blipFill>
        <a:blip xmlns:r="http://schemas.openxmlformats.org/officeDocument/2006/relationships" r:embed="rId1"/>
        <a:stretch>
          <a:fillRect/>
        </a:stretch>
      </xdr:blipFill>
      <xdr:spPr>
        <a:xfrm>
          <a:off x="728384" y="638736"/>
          <a:ext cx="2611093" cy="1456783"/>
        </a:xfrm>
        <a:prstGeom prst="rect">
          <a:avLst/>
        </a:prstGeom>
      </xdr:spPr>
    </xdr:pic>
    <xdr:clientData/>
  </xdr:twoCellAnchor>
  <xdr:twoCellAnchor editAs="oneCell">
    <xdr:from>
      <xdr:col>1</xdr:col>
      <xdr:colOff>156884</xdr:colOff>
      <xdr:row>1</xdr:row>
      <xdr:rowOff>67236</xdr:rowOff>
    </xdr:from>
    <xdr:to>
      <xdr:col>3</xdr:col>
      <xdr:colOff>910602</xdr:colOff>
      <xdr:row>2</xdr:row>
      <xdr:rowOff>19</xdr:rowOff>
    </xdr:to>
    <xdr:pic>
      <xdr:nvPicPr>
        <xdr:cNvPr id="3" name="Afbeelding 2">
          <a:extLst>
            <a:ext uri="{FF2B5EF4-FFF2-40B4-BE49-F238E27FC236}">
              <a16:creationId xmlns:a16="http://schemas.microsoft.com/office/drawing/2014/main" id="{854EC804-2F2C-4D21-A9C7-B5693AC77E59}"/>
            </a:ext>
          </a:extLst>
        </xdr:cNvPr>
        <xdr:cNvPicPr>
          <a:picLocks noChangeAspect="1"/>
        </xdr:cNvPicPr>
      </xdr:nvPicPr>
      <xdr:blipFill>
        <a:blip xmlns:r="http://schemas.openxmlformats.org/officeDocument/2006/relationships" r:embed="rId1"/>
        <a:stretch>
          <a:fillRect/>
        </a:stretch>
      </xdr:blipFill>
      <xdr:spPr>
        <a:xfrm>
          <a:off x="728384" y="638736"/>
          <a:ext cx="2611093" cy="1456783"/>
        </a:xfrm>
        <a:prstGeom prst="rect">
          <a:avLst/>
        </a:prstGeom>
      </xdr:spPr>
    </xdr:pic>
    <xdr:clientData/>
  </xdr:twoCellAnchor>
</xdr:wsDr>
</file>

<file path=xl/theme/theme1.xml><?xml version="1.0" encoding="utf-8"?>
<a:theme xmlns:a="http://schemas.openxmlformats.org/drawingml/2006/main" name="Kantoorthema">
  <a:themeElements>
    <a:clrScheme name="VSSR Quickscan">
      <a:dk1>
        <a:sysClr val="windowText" lastClr="000000"/>
      </a:dk1>
      <a:lt1>
        <a:sysClr val="window" lastClr="FFFFFF"/>
      </a:lt1>
      <a:dk2>
        <a:srgbClr val="44546A"/>
      </a:dk2>
      <a:lt2>
        <a:srgbClr val="E7E6E6"/>
      </a:lt2>
      <a:accent1>
        <a:srgbClr val="007BC7"/>
      </a:accent1>
      <a:accent2>
        <a:srgbClr val="FF0000"/>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vssr.rijksapplicaties.n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vssr.rijksapplicaties.n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vssr.rijksapplicaties.nl/"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vssr.rijksapplicaties.n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9"/>
  <sheetViews>
    <sheetView showGridLines="0" showRowColHeaders="0" tabSelected="1" zoomScaleNormal="100" workbookViewId="0"/>
  </sheetViews>
  <sheetFormatPr defaultColWidth="0" defaultRowHeight="14.25" zeroHeight="1" x14ac:dyDescent="0.45"/>
  <cols>
    <col min="1" max="1" width="8.59765625" style="150" customWidth="1"/>
    <col min="2" max="2" width="2.86328125" customWidth="1"/>
    <col min="3" max="3" width="7.73046875" customWidth="1"/>
    <col min="4" max="4" width="125.265625" style="28" customWidth="1"/>
    <col min="5" max="5" width="2.86328125" customWidth="1"/>
    <col min="6" max="16384" width="9.1328125" hidden="1"/>
  </cols>
  <sheetData>
    <row r="1" spans="2:5" s="150" customFormat="1" ht="45" customHeight="1" x14ac:dyDescent="0.45">
      <c r="D1" s="153"/>
    </row>
    <row r="2" spans="2:5" ht="120" customHeight="1" x14ac:dyDescent="1">
      <c r="B2" s="37"/>
      <c r="C2" s="181" t="s">
        <v>194</v>
      </c>
      <c r="D2" s="182"/>
      <c r="E2" s="38"/>
    </row>
    <row r="3" spans="2:5" ht="14.25" customHeight="1" x14ac:dyDescent="1">
      <c r="B3" s="181"/>
      <c r="C3" s="182"/>
      <c r="D3" s="181"/>
      <c r="E3" s="182"/>
    </row>
    <row r="4" spans="2:5" ht="18.75" customHeight="1" x14ac:dyDescent="1">
      <c r="B4" s="39"/>
      <c r="C4" s="45" t="s">
        <v>195</v>
      </c>
      <c r="D4" s="39"/>
      <c r="E4" s="40"/>
    </row>
    <row r="5" spans="2:5" ht="18.75" customHeight="1" x14ac:dyDescent="1">
      <c r="B5" s="41"/>
      <c r="C5" s="46" t="s">
        <v>356</v>
      </c>
      <c r="D5" s="41"/>
      <c r="E5" s="42"/>
    </row>
    <row r="6" spans="2:5" ht="18.75" customHeight="1" x14ac:dyDescent="0.45">
      <c r="B6" s="43"/>
      <c r="C6" s="169" t="s">
        <v>380</v>
      </c>
      <c r="D6" s="43"/>
      <c r="E6" s="43"/>
    </row>
    <row r="7" spans="2:5" ht="15" customHeight="1" x14ac:dyDescent="0.45">
      <c r="B7" s="65"/>
      <c r="C7" s="65"/>
      <c r="D7" s="66"/>
      <c r="E7" s="65"/>
    </row>
    <row r="8" spans="2:5" x14ac:dyDescent="0.45">
      <c r="B8" s="65"/>
      <c r="C8" s="68" t="s">
        <v>131</v>
      </c>
      <c r="D8" s="66"/>
      <c r="E8" s="65"/>
    </row>
    <row r="9" spans="2:5" ht="195.75" customHeight="1" x14ac:dyDescent="0.45">
      <c r="B9" s="65"/>
      <c r="C9" s="188" t="s">
        <v>301</v>
      </c>
      <c r="D9" s="188"/>
      <c r="E9" s="65"/>
    </row>
    <row r="10" spans="2:5" x14ac:dyDescent="0.45">
      <c r="B10" s="65"/>
      <c r="C10" s="68" t="s">
        <v>210</v>
      </c>
      <c r="D10" s="66"/>
      <c r="E10" s="65"/>
    </row>
    <row r="11" spans="2:5" ht="39.75" customHeight="1" x14ac:dyDescent="0.45">
      <c r="B11" s="65"/>
      <c r="C11" s="188" t="s">
        <v>277</v>
      </c>
      <c r="D11" s="188"/>
      <c r="E11" s="65"/>
    </row>
    <row r="12" spans="2:5" ht="98.25" customHeight="1" x14ac:dyDescent="0.45">
      <c r="B12" s="65"/>
      <c r="C12" s="65"/>
      <c r="D12" s="147" t="s">
        <v>278</v>
      </c>
      <c r="E12" s="65"/>
    </row>
    <row r="13" spans="2:5" ht="24.75" customHeight="1" x14ac:dyDescent="0.45">
      <c r="B13" s="65"/>
      <c r="C13" s="188" t="s">
        <v>279</v>
      </c>
      <c r="D13" s="188"/>
      <c r="E13" s="65"/>
    </row>
    <row r="14" spans="2:5" ht="127.5" customHeight="1" x14ac:dyDescent="0.45">
      <c r="B14" s="65"/>
      <c r="C14" s="65"/>
      <c r="D14" s="147" t="s">
        <v>293</v>
      </c>
      <c r="E14" s="65"/>
    </row>
    <row r="15" spans="2:5" ht="24" customHeight="1" x14ac:dyDescent="0.45">
      <c r="B15" s="65"/>
      <c r="C15" s="144" t="s">
        <v>285</v>
      </c>
      <c r="D15" s="147"/>
      <c r="E15" s="65"/>
    </row>
    <row r="16" spans="2:5" ht="62.25" customHeight="1" x14ac:dyDescent="0.45">
      <c r="B16" s="65"/>
      <c r="C16" s="144"/>
      <c r="D16" s="147" t="s">
        <v>292</v>
      </c>
      <c r="E16" s="65"/>
    </row>
    <row r="17" spans="2:5" x14ac:dyDescent="0.45">
      <c r="B17" s="65"/>
      <c r="C17" s="68" t="s">
        <v>280</v>
      </c>
      <c r="D17" s="66"/>
      <c r="E17" s="65"/>
    </row>
    <row r="18" spans="2:5" x14ac:dyDescent="0.45">
      <c r="B18" s="65"/>
      <c r="C18" s="144" t="s">
        <v>274</v>
      </c>
      <c r="D18" s="66" t="s">
        <v>132</v>
      </c>
      <c r="E18" s="65"/>
    </row>
    <row r="19" spans="2:5" x14ac:dyDescent="0.45">
      <c r="B19" s="65"/>
      <c r="C19" s="144"/>
      <c r="D19" s="66"/>
      <c r="E19" s="65"/>
    </row>
    <row r="20" spans="2:5" ht="54.75" x14ac:dyDescent="0.45">
      <c r="B20" s="65"/>
      <c r="C20" s="144" t="s">
        <v>275</v>
      </c>
      <c r="D20" s="143" t="s">
        <v>310</v>
      </c>
      <c r="E20" s="65"/>
    </row>
    <row r="21" spans="2:5" x14ac:dyDescent="0.45">
      <c r="B21" s="65"/>
      <c r="C21" s="144"/>
      <c r="D21" s="66"/>
      <c r="E21" s="65"/>
    </row>
    <row r="22" spans="2:5" x14ac:dyDescent="0.45">
      <c r="B22" s="65"/>
      <c r="C22" s="144" t="s">
        <v>309</v>
      </c>
      <c r="D22" s="143" t="s">
        <v>313</v>
      </c>
      <c r="E22" s="65"/>
    </row>
    <row r="23" spans="2:5" ht="41.25" x14ac:dyDescent="0.45">
      <c r="B23" s="65"/>
      <c r="C23" s="144" t="s">
        <v>311</v>
      </c>
      <c r="D23" s="143" t="s">
        <v>312</v>
      </c>
      <c r="E23" s="65"/>
    </row>
    <row r="24" spans="2:5" ht="27.75" x14ac:dyDescent="0.45">
      <c r="B24" s="65"/>
      <c r="C24" s="144" t="s">
        <v>314</v>
      </c>
      <c r="D24" s="143" t="s">
        <v>323</v>
      </c>
      <c r="E24" s="65"/>
    </row>
    <row r="25" spans="2:5" ht="54.75" x14ac:dyDescent="0.45">
      <c r="B25" s="65"/>
      <c r="C25" s="144" t="s">
        <v>318</v>
      </c>
      <c r="D25" s="143" t="s">
        <v>351</v>
      </c>
      <c r="E25" s="65"/>
    </row>
    <row r="26" spans="2:5" ht="27.75" x14ac:dyDescent="0.45">
      <c r="B26" s="65"/>
      <c r="C26" s="144" t="s">
        <v>357</v>
      </c>
      <c r="D26" s="143" t="s">
        <v>368</v>
      </c>
      <c r="E26" s="65"/>
    </row>
    <row r="27" spans="2:5" x14ac:dyDescent="0.45">
      <c r="B27" s="65"/>
      <c r="C27" s="144"/>
      <c r="D27" s="66"/>
      <c r="E27" s="65"/>
    </row>
    <row r="28" spans="2:5" ht="18.75" customHeight="1" x14ac:dyDescent="0.45">
      <c r="B28" s="43"/>
      <c r="C28" s="187" t="s">
        <v>209</v>
      </c>
      <c r="D28" s="187"/>
      <c r="E28" s="43"/>
    </row>
    <row r="29" spans="2:5" x14ac:dyDescent="0.45">
      <c r="B29" s="150"/>
      <c r="C29" s="150"/>
      <c r="D29" s="150"/>
      <c r="E29" s="150"/>
    </row>
  </sheetData>
  <mergeCells count="7">
    <mergeCell ref="C28:D28"/>
    <mergeCell ref="C9:D9"/>
    <mergeCell ref="C11:D11"/>
    <mergeCell ref="C2:D2"/>
    <mergeCell ref="B3:C3"/>
    <mergeCell ref="D3:E3"/>
    <mergeCell ref="C13:D13"/>
  </mergeCells>
  <hyperlinks>
    <hyperlink ref="C28:D28" r:id="rId1" display="Kijk voor meer informatie over VSSR diensten op https://vssr.rijksapplicaties.nl/ of mail naar vssr.info@minjenv.nl" xr:uid="{2E83C903-C814-41A9-95EC-6F7D40B6AB9F}"/>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75"/>
  <sheetViews>
    <sheetView showGridLines="0" showRowColHeaders="0" topLeftCell="A26" zoomScaleNormal="100" workbookViewId="0"/>
  </sheetViews>
  <sheetFormatPr defaultColWidth="0" defaultRowHeight="14.25" zeroHeight="1" x14ac:dyDescent="0.45"/>
  <cols>
    <col min="1" max="1" width="8.59765625" style="148" customWidth="1"/>
    <col min="2" max="2" width="2.86328125" style="1" customWidth="1"/>
    <col min="3" max="3" width="38" style="1" customWidth="1"/>
    <col min="4" max="4" width="6.1328125" style="1" customWidth="1"/>
    <col min="5" max="5" width="51.3984375" style="1" customWidth="1"/>
    <col min="6" max="6" width="38.3984375" style="1" customWidth="1"/>
    <col min="7" max="7" width="7.1328125" style="1" customWidth="1"/>
    <col min="8" max="8" width="85.73046875" style="1" customWidth="1"/>
    <col min="9" max="9" width="2.86328125" style="1" customWidth="1"/>
    <col min="10" max="10" width="9.86328125" style="1" hidden="1" customWidth="1"/>
    <col min="11" max="11" width="39" style="1" hidden="1" customWidth="1"/>
    <col min="12" max="16" width="9.1328125" style="1" hidden="1" customWidth="1"/>
    <col min="17" max="17" width="43.86328125" style="1" hidden="1" customWidth="1"/>
    <col min="18" max="16384" width="2.265625" style="1" hidden="1"/>
  </cols>
  <sheetData>
    <row r="1" spans="1:9" s="148" customFormat="1" ht="45" customHeight="1" x14ac:dyDescent="0.45"/>
    <row r="2" spans="1:9" customFormat="1" ht="120" customHeight="1" x14ac:dyDescent="1">
      <c r="A2" s="150"/>
      <c r="B2" s="37"/>
      <c r="C2" s="181" t="s">
        <v>194</v>
      </c>
      <c r="D2" s="181"/>
      <c r="E2" s="181"/>
      <c r="F2" s="181"/>
      <c r="G2" s="181"/>
      <c r="H2" s="181"/>
      <c r="I2" s="37"/>
    </row>
    <row r="3" spans="1:9" customFormat="1" ht="14.25" customHeight="1" x14ac:dyDescent="1">
      <c r="A3" s="150"/>
      <c r="B3" s="181"/>
      <c r="C3" s="182"/>
      <c r="D3" s="183"/>
      <c r="E3" s="183"/>
      <c r="F3" s="183"/>
      <c r="G3" s="183"/>
      <c r="H3" s="183"/>
      <c r="I3" s="183"/>
    </row>
    <row r="4" spans="1:9" customFormat="1" ht="18.75" customHeight="1" x14ac:dyDescent="1">
      <c r="A4" s="150"/>
      <c r="B4" s="39"/>
      <c r="C4" s="45" t="s">
        <v>195</v>
      </c>
      <c r="D4" s="39"/>
      <c r="E4" s="48"/>
      <c r="F4" s="48"/>
      <c r="G4" s="48"/>
      <c r="H4" s="48"/>
      <c r="I4" s="48"/>
    </row>
    <row r="5" spans="1:9" customFormat="1" ht="18.75" customHeight="1" x14ac:dyDescent="1">
      <c r="A5" s="150"/>
      <c r="B5" s="41"/>
      <c r="C5" s="46" t="str">
        <f>INFO!C5</f>
        <v>SOC Readiness Quickscan - Versie 2.5</v>
      </c>
      <c r="D5" s="41"/>
      <c r="E5" s="184"/>
      <c r="F5" s="184"/>
      <c r="G5" s="184"/>
      <c r="H5" s="184"/>
      <c r="I5" s="184"/>
    </row>
    <row r="6" spans="1:9" customFormat="1" ht="18.75" customHeight="1" x14ac:dyDescent="0.45">
      <c r="A6" s="150"/>
      <c r="B6" s="43"/>
      <c r="C6" s="43"/>
      <c r="D6" s="43"/>
      <c r="E6" s="185"/>
      <c r="F6" s="185"/>
      <c r="G6" s="185"/>
      <c r="H6" s="185"/>
      <c r="I6" s="185"/>
    </row>
    <row r="7" spans="1:9" customFormat="1" ht="15" customHeight="1" x14ac:dyDescent="0.45">
      <c r="A7" s="150"/>
      <c r="B7" s="65"/>
      <c r="C7" s="65"/>
      <c r="D7" s="66"/>
      <c r="E7" s="186"/>
      <c r="F7" s="186"/>
      <c r="G7" s="186"/>
      <c r="H7" s="186"/>
      <c r="I7" s="186"/>
    </row>
    <row r="8" spans="1:9" x14ac:dyDescent="0.45">
      <c r="B8" s="67"/>
      <c r="C8" s="67"/>
      <c r="D8" s="67"/>
      <c r="E8" s="67"/>
      <c r="F8" s="67"/>
      <c r="G8" s="67"/>
      <c r="H8" s="67"/>
      <c r="I8" s="67"/>
    </row>
    <row r="9" spans="1:9" x14ac:dyDescent="0.4">
      <c r="B9" s="67"/>
      <c r="C9" s="68" t="s">
        <v>148</v>
      </c>
      <c r="D9" s="69"/>
      <c r="E9" s="70"/>
      <c r="F9" s="70"/>
      <c r="G9" s="70"/>
      <c r="H9" s="70"/>
      <c r="I9" s="67"/>
    </row>
    <row r="10" spans="1:9" ht="15" customHeight="1" x14ac:dyDescent="0.45">
      <c r="B10" s="67"/>
      <c r="C10" s="176" t="s">
        <v>177</v>
      </c>
      <c r="D10" s="70"/>
      <c r="E10" s="70"/>
      <c r="F10" s="70"/>
      <c r="G10" s="70"/>
      <c r="H10" s="70"/>
      <c r="I10" s="67"/>
    </row>
    <row r="11" spans="1:9" x14ac:dyDescent="0.45">
      <c r="B11" s="67"/>
      <c r="C11" s="176"/>
      <c r="D11" s="70"/>
      <c r="E11" s="70"/>
      <c r="F11" s="70"/>
      <c r="G11" s="70"/>
      <c r="H11" s="70"/>
      <c r="I11" s="67"/>
    </row>
    <row r="12" spans="1:9" x14ac:dyDescent="0.45">
      <c r="B12" s="67"/>
      <c r="C12" s="176"/>
      <c r="D12" s="70"/>
      <c r="E12" s="70"/>
      <c r="F12" s="70"/>
      <c r="G12" s="70"/>
      <c r="H12" s="70"/>
      <c r="I12" s="67"/>
    </row>
    <row r="13" spans="1:9" x14ac:dyDescent="0.45">
      <c r="B13" s="67"/>
      <c r="C13" s="176"/>
      <c r="D13" s="70"/>
      <c r="E13" s="70"/>
      <c r="F13" s="70"/>
      <c r="G13" s="70"/>
      <c r="H13" s="70"/>
      <c r="I13" s="67"/>
    </row>
    <row r="14" spans="1:9" x14ac:dyDescent="0.45">
      <c r="B14" s="67"/>
      <c r="C14" s="176"/>
      <c r="D14" s="70"/>
      <c r="E14" s="70"/>
      <c r="F14" s="70"/>
      <c r="G14" s="70"/>
      <c r="H14" s="70"/>
      <c r="I14" s="67"/>
    </row>
    <row r="15" spans="1:9" x14ac:dyDescent="0.45">
      <c r="B15" s="67"/>
      <c r="C15" s="70"/>
      <c r="D15" s="70"/>
      <c r="E15" s="70"/>
      <c r="F15" s="70"/>
      <c r="G15" s="70"/>
      <c r="H15" s="70"/>
      <c r="I15" s="67"/>
    </row>
    <row r="16" spans="1:9" x14ac:dyDescent="0.45">
      <c r="B16" s="67"/>
      <c r="C16" s="70"/>
      <c r="D16" s="70"/>
      <c r="E16" s="70"/>
      <c r="F16" s="70"/>
      <c r="G16" s="70"/>
      <c r="H16" s="70"/>
      <c r="I16" s="67"/>
    </row>
    <row r="17" spans="2:9" x14ac:dyDescent="0.4">
      <c r="B17" s="67"/>
      <c r="C17" s="68" t="s">
        <v>149</v>
      </c>
      <c r="D17" s="69"/>
      <c r="E17" s="70"/>
      <c r="F17" s="70"/>
      <c r="G17" s="70"/>
      <c r="H17" s="70"/>
      <c r="I17" s="67"/>
    </row>
    <row r="18" spans="2:9" x14ac:dyDescent="0.45">
      <c r="B18" s="67"/>
      <c r="C18" s="176" t="s">
        <v>178</v>
      </c>
      <c r="D18" s="70"/>
      <c r="E18" s="70"/>
      <c r="F18" s="70"/>
      <c r="G18" s="70"/>
      <c r="H18" s="70"/>
      <c r="I18" s="67"/>
    </row>
    <row r="19" spans="2:9" x14ac:dyDescent="0.45">
      <c r="B19" s="67"/>
      <c r="C19" s="176"/>
      <c r="D19" s="70"/>
      <c r="E19" s="70"/>
      <c r="F19" s="70"/>
      <c r="G19" s="70"/>
      <c r="H19" s="70"/>
      <c r="I19" s="67"/>
    </row>
    <row r="20" spans="2:9" x14ac:dyDescent="0.45">
      <c r="B20" s="67"/>
      <c r="C20" s="176"/>
      <c r="D20" s="70"/>
      <c r="E20" s="70"/>
      <c r="F20" s="70"/>
      <c r="G20" s="70"/>
      <c r="H20" s="70"/>
      <c r="I20" s="67"/>
    </row>
    <row r="21" spans="2:9" x14ac:dyDescent="0.45">
      <c r="B21" s="67"/>
      <c r="C21" s="176"/>
      <c r="D21" s="70"/>
      <c r="E21" s="70"/>
      <c r="F21" s="70"/>
      <c r="G21" s="70"/>
      <c r="H21" s="70"/>
      <c r="I21" s="67"/>
    </row>
    <row r="22" spans="2:9" x14ac:dyDescent="0.45">
      <c r="B22" s="67"/>
      <c r="C22" s="176"/>
      <c r="D22" s="70"/>
      <c r="E22" s="70"/>
      <c r="F22" s="70"/>
      <c r="G22" s="70"/>
      <c r="H22" s="70"/>
      <c r="I22" s="67"/>
    </row>
    <row r="23" spans="2:9" x14ac:dyDescent="0.45">
      <c r="B23" s="67"/>
      <c r="C23" s="70"/>
      <c r="D23" s="70"/>
      <c r="E23" s="70"/>
      <c r="F23" s="70"/>
      <c r="G23" s="70"/>
      <c r="H23" s="70"/>
      <c r="I23" s="67"/>
    </row>
    <row r="24" spans="2:9" x14ac:dyDescent="0.45">
      <c r="B24" s="67"/>
      <c r="C24" s="70"/>
      <c r="D24" s="70"/>
      <c r="E24" s="70"/>
      <c r="F24" s="70"/>
      <c r="G24" s="70"/>
      <c r="H24" s="70"/>
      <c r="I24" s="67"/>
    </row>
    <row r="25" spans="2:9" x14ac:dyDescent="0.45">
      <c r="B25" s="67"/>
      <c r="C25" s="70"/>
      <c r="D25" s="70"/>
      <c r="E25" s="70"/>
      <c r="F25" s="70"/>
      <c r="G25" s="70"/>
      <c r="H25" s="70"/>
      <c r="I25" s="67"/>
    </row>
    <row r="26" spans="2:9" x14ac:dyDescent="0.4">
      <c r="B26" s="67"/>
      <c r="C26" s="68" t="s">
        <v>150</v>
      </c>
      <c r="D26" s="70"/>
      <c r="E26" s="69" t="s">
        <v>0</v>
      </c>
      <c r="F26" s="69"/>
      <c r="G26" s="70"/>
      <c r="H26" s="69" t="s">
        <v>1</v>
      </c>
      <c r="I26" s="67"/>
    </row>
    <row r="27" spans="2:9" ht="15" customHeight="1" x14ac:dyDescent="0.45">
      <c r="B27" s="67"/>
      <c r="C27" s="176" t="s">
        <v>302</v>
      </c>
      <c r="D27" s="70"/>
      <c r="E27" s="70"/>
      <c r="F27" s="70"/>
      <c r="G27" s="70"/>
      <c r="H27" s="70"/>
      <c r="I27" s="67"/>
    </row>
    <row r="28" spans="2:9" x14ac:dyDescent="0.45">
      <c r="B28" s="67"/>
      <c r="C28" s="176"/>
      <c r="D28" s="69"/>
      <c r="E28" s="70"/>
      <c r="F28" s="70"/>
      <c r="G28" s="70"/>
      <c r="H28" s="70"/>
      <c r="I28" s="67"/>
    </row>
    <row r="29" spans="2:9" x14ac:dyDescent="0.45">
      <c r="B29" s="67"/>
      <c r="C29" s="176"/>
      <c r="D29" s="70"/>
      <c r="E29" s="70"/>
      <c r="F29" s="70"/>
      <c r="G29" s="70"/>
      <c r="H29" s="70"/>
      <c r="I29" s="67"/>
    </row>
    <row r="30" spans="2:9" x14ac:dyDescent="0.45">
      <c r="B30" s="67"/>
      <c r="C30" s="176"/>
      <c r="D30" s="70"/>
      <c r="E30" s="70"/>
      <c r="F30" s="70"/>
      <c r="G30" s="70"/>
      <c r="H30" s="70"/>
      <c r="I30" s="67"/>
    </row>
    <row r="31" spans="2:9" x14ac:dyDescent="0.45">
      <c r="B31" s="67"/>
      <c r="C31" s="176"/>
      <c r="D31" s="70"/>
      <c r="E31" s="70"/>
      <c r="F31" s="70"/>
      <c r="G31" s="71"/>
      <c r="H31" s="70"/>
      <c r="I31" s="67"/>
    </row>
    <row r="32" spans="2:9" x14ac:dyDescent="0.45">
      <c r="B32" s="67"/>
      <c r="C32" s="176"/>
      <c r="D32" s="70"/>
      <c r="E32" s="70"/>
      <c r="F32" s="70"/>
      <c r="G32" s="71"/>
      <c r="H32" s="70"/>
      <c r="I32" s="67"/>
    </row>
    <row r="33" spans="2:17" x14ac:dyDescent="0.45">
      <c r="B33" s="67"/>
      <c r="C33" s="176"/>
      <c r="D33" s="70"/>
      <c r="E33" s="70"/>
      <c r="F33" s="70"/>
      <c r="G33" s="70"/>
      <c r="H33" s="70"/>
      <c r="I33" s="67"/>
    </row>
    <row r="34" spans="2:17" x14ac:dyDescent="0.45">
      <c r="B34" s="67"/>
      <c r="C34" s="176"/>
      <c r="D34" s="70"/>
      <c r="E34" s="70"/>
      <c r="F34" s="70"/>
      <c r="G34" s="70"/>
      <c r="H34" s="70"/>
      <c r="I34" s="67"/>
      <c r="Q34" s="16"/>
    </row>
    <row r="35" spans="2:17" x14ac:dyDescent="0.45">
      <c r="B35" s="67"/>
      <c r="C35" s="176"/>
      <c r="D35" s="70"/>
      <c r="E35" s="70"/>
      <c r="F35" s="70"/>
      <c r="G35" s="70"/>
      <c r="H35" s="70"/>
      <c r="I35" s="67"/>
    </row>
    <row r="36" spans="2:17" x14ac:dyDescent="0.45">
      <c r="B36" s="67"/>
      <c r="C36" s="176"/>
      <c r="D36" s="70"/>
      <c r="E36" s="70"/>
      <c r="F36" s="70"/>
      <c r="G36" s="70"/>
      <c r="H36" s="70"/>
      <c r="I36" s="67"/>
    </row>
    <row r="37" spans="2:17" x14ac:dyDescent="0.45">
      <c r="B37" s="67"/>
      <c r="C37" s="176"/>
      <c r="D37" s="70"/>
      <c r="E37" s="70"/>
      <c r="F37" s="70"/>
      <c r="G37" s="70"/>
      <c r="H37" s="70"/>
      <c r="I37" s="67"/>
    </row>
    <row r="38" spans="2:17" x14ac:dyDescent="0.45">
      <c r="B38" s="67"/>
      <c r="C38" s="176"/>
      <c r="D38" s="70"/>
      <c r="E38" s="70"/>
      <c r="F38" s="70"/>
      <c r="G38" s="70"/>
      <c r="H38" s="70"/>
      <c r="I38" s="67"/>
    </row>
    <row r="39" spans="2:17" x14ac:dyDescent="0.45">
      <c r="B39" s="67"/>
      <c r="C39" s="176"/>
      <c r="D39" s="70"/>
      <c r="E39" s="70"/>
      <c r="F39" s="70"/>
      <c r="G39" s="70"/>
      <c r="H39" s="70"/>
      <c r="I39" s="67"/>
    </row>
    <row r="40" spans="2:17" x14ac:dyDescent="0.45">
      <c r="B40" s="67"/>
      <c r="C40" s="176"/>
      <c r="D40" s="70"/>
      <c r="E40" s="70"/>
      <c r="F40" s="70"/>
      <c r="G40" s="70"/>
      <c r="H40" s="70"/>
      <c r="I40" s="67"/>
    </row>
    <row r="41" spans="2:17" x14ac:dyDescent="0.45">
      <c r="B41" s="67"/>
      <c r="C41" s="176"/>
      <c r="D41" s="70"/>
      <c r="E41" s="70"/>
      <c r="F41" s="70"/>
      <c r="G41" s="70"/>
      <c r="H41" s="70"/>
      <c r="I41" s="67"/>
    </row>
    <row r="42" spans="2:17" x14ac:dyDescent="0.45">
      <c r="B42" s="67"/>
      <c r="C42" s="176"/>
      <c r="D42" s="70"/>
      <c r="E42" s="70"/>
      <c r="F42" s="70"/>
      <c r="G42" s="70"/>
      <c r="H42" s="70"/>
      <c r="I42" s="67"/>
    </row>
    <row r="43" spans="2:17" x14ac:dyDescent="0.45">
      <c r="B43" s="67"/>
      <c r="C43" s="67"/>
      <c r="D43" s="67"/>
      <c r="E43" s="67"/>
      <c r="F43" s="67"/>
      <c r="G43" s="67"/>
      <c r="H43" s="67"/>
      <c r="I43" s="67"/>
    </row>
    <row r="44" spans="2:17" x14ac:dyDescent="0.45">
      <c r="B44" s="67"/>
      <c r="C44" s="67"/>
      <c r="D44" s="67"/>
      <c r="E44" s="67"/>
      <c r="F44" s="67"/>
      <c r="G44" s="67"/>
      <c r="H44" s="67"/>
      <c r="I44" s="67"/>
    </row>
    <row r="45" spans="2:17" x14ac:dyDescent="0.45">
      <c r="B45" s="67"/>
      <c r="C45" s="67"/>
      <c r="D45" s="67"/>
      <c r="E45" s="67"/>
      <c r="F45" s="67"/>
      <c r="G45" s="67"/>
      <c r="H45" s="67"/>
      <c r="I45" s="67"/>
    </row>
    <row r="46" spans="2:17" x14ac:dyDescent="0.4">
      <c r="B46" s="67"/>
      <c r="C46" s="68" t="s">
        <v>106</v>
      </c>
      <c r="D46" s="69"/>
      <c r="E46" s="73" t="s">
        <v>211</v>
      </c>
      <c r="F46" s="178" t="str">
        <f>IF(ISBLANK(Tactisch!F9),"",Tactisch!F9)</f>
        <v/>
      </c>
      <c r="G46" s="178"/>
      <c r="H46" s="73"/>
      <c r="I46" s="67"/>
    </row>
    <row r="47" spans="2:17" x14ac:dyDescent="0.45">
      <c r="B47" s="67"/>
      <c r="C47" s="176" t="s">
        <v>212</v>
      </c>
      <c r="D47" s="70"/>
      <c r="E47" s="73" t="s">
        <v>95</v>
      </c>
      <c r="F47" s="178" t="str">
        <f>IF(F46="","",(LOOKUP(F46,DATA!B16:B22,DATA!E16:E22)))</f>
        <v/>
      </c>
      <c r="G47" s="178"/>
      <c r="H47" s="73"/>
      <c r="I47" s="67"/>
      <c r="K47" s="23"/>
    </row>
    <row r="48" spans="2:17" x14ac:dyDescent="0.45">
      <c r="B48" s="67"/>
      <c r="C48" s="176"/>
      <c r="D48" s="70"/>
      <c r="E48" s="73" t="s">
        <v>163</v>
      </c>
      <c r="F48" s="178" t="str">
        <f>IF(F46="","",(LOOKUP(F46,DATA!B16:B22,DATA!D16:D22)))</f>
        <v/>
      </c>
      <c r="G48" s="178"/>
      <c r="H48" s="161" t="s">
        <v>101</v>
      </c>
      <c r="I48" s="67"/>
      <c r="K48" s="23"/>
    </row>
    <row r="49" spans="2:11" x14ac:dyDescent="0.45">
      <c r="B49" s="67"/>
      <c r="C49" s="176"/>
      <c r="D49" s="70"/>
      <c r="E49" s="73" t="s">
        <v>162</v>
      </c>
      <c r="F49" s="178" t="str">
        <f>IF(F46="","",(LOOKUP(F46,DATA!B16:B22,DATA!C16:C22)))</f>
        <v/>
      </c>
      <c r="G49" s="178"/>
      <c r="H49" s="161" t="s">
        <v>96</v>
      </c>
      <c r="I49" s="67"/>
      <c r="K49" s="23"/>
    </row>
    <row r="50" spans="2:11" x14ac:dyDescent="0.45">
      <c r="B50" s="67"/>
      <c r="C50" s="176"/>
      <c r="D50" s="70"/>
      <c r="E50" s="73" t="s">
        <v>100</v>
      </c>
      <c r="F50" s="178" t="str">
        <f>IF(F46="","",(LOOKUP(F46,DATA!I16:I22,DATA!F16:F22)))</f>
        <v/>
      </c>
      <c r="G50" s="178"/>
      <c r="H50" s="73"/>
      <c r="I50" s="67"/>
      <c r="K50" s="23"/>
    </row>
    <row r="51" spans="2:11" ht="41.65" x14ac:dyDescent="0.45">
      <c r="B51" s="67"/>
      <c r="C51" s="176"/>
      <c r="D51" s="70"/>
      <c r="E51" s="73" t="s">
        <v>214</v>
      </c>
      <c r="F51" s="178" t="str">
        <f>IF(F46="","",(LOOKUP(F46,DATA!I16:I22,DATA!M16:M22)))</f>
        <v/>
      </c>
      <c r="G51" s="178"/>
      <c r="H51" s="161" t="s">
        <v>124</v>
      </c>
      <c r="I51" s="67"/>
      <c r="K51" s="23"/>
    </row>
    <row r="52" spans="2:11" x14ac:dyDescent="0.45">
      <c r="B52" s="67"/>
      <c r="C52" s="70"/>
      <c r="D52" s="70"/>
      <c r="E52" s="70"/>
      <c r="F52" s="70"/>
      <c r="G52" s="70"/>
      <c r="H52" s="70"/>
      <c r="I52" s="67"/>
      <c r="K52" s="23"/>
    </row>
    <row r="53" spans="2:11" x14ac:dyDescent="0.45">
      <c r="B53" s="67"/>
      <c r="C53" s="70"/>
      <c r="D53" s="70"/>
      <c r="E53" s="70"/>
      <c r="F53" s="70"/>
      <c r="G53" s="70"/>
      <c r="H53" s="70"/>
      <c r="I53" s="67"/>
      <c r="K53" s="23"/>
    </row>
    <row r="54" spans="2:11" x14ac:dyDescent="0.45">
      <c r="B54" s="67"/>
      <c r="C54" s="70"/>
      <c r="D54" s="70"/>
      <c r="E54" s="70"/>
      <c r="F54" s="70"/>
      <c r="G54" s="70"/>
      <c r="H54" s="70"/>
      <c r="I54" s="67"/>
      <c r="K54" s="23"/>
    </row>
    <row r="55" spans="2:11" x14ac:dyDescent="0.4">
      <c r="B55" s="67"/>
      <c r="C55" s="68" t="s">
        <v>281</v>
      </c>
      <c r="D55" s="70"/>
      <c r="E55" s="70"/>
      <c r="F55" s="70"/>
      <c r="G55" s="70"/>
      <c r="H55" s="70"/>
      <c r="I55" s="67"/>
      <c r="K55" s="23"/>
    </row>
    <row r="56" spans="2:11" ht="15" customHeight="1" x14ac:dyDescent="0.4">
      <c r="B56" s="67"/>
      <c r="C56" s="101" t="s">
        <v>237</v>
      </c>
      <c r="D56" s="177" t="s">
        <v>254</v>
      </c>
      <c r="E56" s="177"/>
      <c r="F56" s="101" t="s">
        <v>291</v>
      </c>
      <c r="G56" s="160"/>
      <c r="H56" s="160"/>
      <c r="I56" s="67"/>
      <c r="K56" s="23"/>
    </row>
    <row r="57" spans="2:11" x14ac:dyDescent="0.45">
      <c r="B57" s="67"/>
      <c r="C57" s="80" t="str">
        <f>IFERROR(VLOOKUP(J57,'Ondersteunende bronnen'!$C$4:$P$43,12,FALSE),"")</f>
        <v/>
      </c>
      <c r="D57" s="170" t="str">
        <f>IFERROR(VLOOKUP(J57,'Ondersteunende bronnen'!$C$4:$P$43,11,FALSE),"")</f>
        <v/>
      </c>
      <c r="E57" s="171"/>
      <c r="F57" s="170" t="str">
        <f>IFERROR(HYPERLINK(VLOOKUP(J57,'Ondersteunende bronnen'!$C$4:$P$43,8,FALSE),VLOOKUP(J57,'Ondersteunende bronnen'!$C$4:$P$43,7,FALSE)),"")</f>
        <v/>
      </c>
      <c r="G57" s="171"/>
      <c r="H57" s="172"/>
      <c r="I57" s="67"/>
      <c r="J57" s="1">
        <v>1</v>
      </c>
      <c r="K57" s="23"/>
    </row>
    <row r="58" spans="2:11" ht="15" customHeight="1" x14ac:dyDescent="0.45">
      <c r="B58" s="67"/>
      <c r="C58" s="80" t="str">
        <f>IFERROR(VLOOKUP(J58,'Ondersteunende bronnen'!$C$4:$P$43,12,FALSE),"")</f>
        <v/>
      </c>
      <c r="D58" s="170" t="str">
        <f>IFERROR(VLOOKUP(J58,'Ondersteunende bronnen'!$C$4:$P$43,11,FALSE),"")</f>
        <v/>
      </c>
      <c r="E58" s="171"/>
      <c r="F58" s="170" t="str">
        <f>IFERROR(HYPERLINK(VLOOKUP(J58,'Ondersteunende bronnen'!$C$4:$P$43,8,FALSE),VLOOKUP(J58,'Ondersteunende bronnen'!$C$4:$P$43,7,FALSE)),"")</f>
        <v/>
      </c>
      <c r="G58" s="171"/>
      <c r="H58" s="172"/>
      <c r="I58" s="67"/>
      <c r="J58" s="1">
        <v>2</v>
      </c>
      <c r="K58" s="23"/>
    </row>
    <row r="59" spans="2:11" x14ac:dyDescent="0.45">
      <c r="B59" s="67"/>
      <c r="C59" s="80" t="str">
        <f>IFERROR(VLOOKUP(J59,'Ondersteunende bronnen'!$C$4:$P$43,12,FALSE),"")</f>
        <v/>
      </c>
      <c r="D59" s="170" t="str">
        <f>IFERROR(VLOOKUP(J59,'Ondersteunende bronnen'!$C$4:$P$43,11,FALSE),"")</f>
        <v/>
      </c>
      <c r="E59" s="171"/>
      <c r="F59" s="170" t="str">
        <f>IFERROR(HYPERLINK(VLOOKUP(J59,'Ondersteunende bronnen'!$C$4:$P$43,8,FALSE),VLOOKUP(J59,'Ondersteunende bronnen'!$C$4:$P$43,7,FALSE)),"")</f>
        <v/>
      </c>
      <c r="G59" s="171"/>
      <c r="H59" s="172"/>
      <c r="I59" s="67"/>
      <c r="J59" s="1">
        <v>3</v>
      </c>
      <c r="K59" s="23"/>
    </row>
    <row r="60" spans="2:11" x14ac:dyDescent="0.45">
      <c r="B60" s="67"/>
      <c r="C60" s="80" t="str">
        <f>IFERROR(VLOOKUP(J60,'Ondersteunende bronnen'!$C$4:$P$43,12,FALSE),"")</f>
        <v/>
      </c>
      <c r="D60" s="170" t="str">
        <f>IFERROR(VLOOKUP(J60,'Ondersteunende bronnen'!$C$4:$P$43,11,FALSE),"")</f>
        <v/>
      </c>
      <c r="E60" s="171"/>
      <c r="F60" s="170" t="str">
        <f>IFERROR(HYPERLINK(VLOOKUP(J60,'Ondersteunende bronnen'!$C$4:$P$43,8,FALSE),VLOOKUP(J60,'Ondersteunende bronnen'!$C$4:$P$43,7,FALSE)),"")</f>
        <v/>
      </c>
      <c r="G60" s="171"/>
      <c r="H60" s="172"/>
      <c r="I60" s="67"/>
      <c r="J60" s="1">
        <v>4</v>
      </c>
      <c r="K60" s="23"/>
    </row>
    <row r="61" spans="2:11" x14ac:dyDescent="0.45">
      <c r="B61" s="67"/>
      <c r="C61" s="80" t="str">
        <f>IFERROR(VLOOKUP(J61,'Ondersteunende bronnen'!$C$4:$P$43,12,FALSE),"")</f>
        <v/>
      </c>
      <c r="D61" s="170" t="str">
        <f>IFERROR(VLOOKUP(J61,'Ondersteunende bronnen'!$C$4:$P$43,11,FALSE),"")</f>
        <v/>
      </c>
      <c r="E61" s="171"/>
      <c r="F61" s="170" t="str">
        <f>IFERROR(HYPERLINK(VLOOKUP(J61,'Ondersteunende bronnen'!$C$4:$P$43,8,FALSE),VLOOKUP(J61,'Ondersteunende bronnen'!$C$4:$P$43,7,FALSE)),"")</f>
        <v/>
      </c>
      <c r="G61" s="171"/>
      <c r="H61" s="172"/>
      <c r="I61" s="67"/>
      <c r="J61" s="1">
        <v>5</v>
      </c>
      <c r="K61" s="23"/>
    </row>
    <row r="62" spans="2:11" x14ac:dyDescent="0.45">
      <c r="B62" s="67"/>
      <c r="C62" s="80" t="str">
        <f>IFERROR(VLOOKUP(J62,'Ondersteunende bronnen'!$C$4:$P$43,12,FALSE),"")</f>
        <v/>
      </c>
      <c r="D62" s="170" t="str">
        <f>IFERROR(VLOOKUP(J62,'Ondersteunende bronnen'!$C$4:$P$43,11,FALSE),"")</f>
        <v/>
      </c>
      <c r="E62" s="171"/>
      <c r="F62" s="170" t="str">
        <f>IFERROR(HYPERLINK(VLOOKUP(J62,'Ondersteunende bronnen'!$C$4:$P$43,8,FALSE),VLOOKUP(J62,'Ondersteunende bronnen'!$C$4:$P$43,7,FALSE)),"")</f>
        <v/>
      </c>
      <c r="G62" s="171"/>
      <c r="H62" s="172"/>
      <c r="I62" s="67"/>
      <c r="J62" s="1">
        <v>6</v>
      </c>
      <c r="K62" s="23"/>
    </row>
    <row r="63" spans="2:11" x14ac:dyDescent="0.45">
      <c r="B63" s="67"/>
      <c r="C63" s="80" t="str">
        <f>IFERROR(VLOOKUP(J63,'Ondersteunende bronnen'!$C$4:$P$43,12,FALSE),"")</f>
        <v/>
      </c>
      <c r="D63" s="170" t="str">
        <f>IFERROR(VLOOKUP(J63,'Ondersteunende bronnen'!$C$4:$P$43,11,FALSE),"")</f>
        <v/>
      </c>
      <c r="E63" s="171"/>
      <c r="F63" s="170" t="str">
        <f>IFERROR(HYPERLINK(VLOOKUP(J63,'Ondersteunende bronnen'!$C$4:$P$43,8,FALSE),VLOOKUP(J63,'Ondersteunende bronnen'!$C$4:$P$43,7,FALSE)),"")</f>
        <v/>
      </c>
      <c r="G63" s="171"/>
      <c r="H63" s="172"/>
      <c r="I63" s="67"/>
      <c r="J63" s="1">
        <v>7</v>
      </c>
      <c r="K63" s="23"/>
    </row>
    <row r="64" spans="2:11" x14ac:dyDescent="0.45">
      <c r="B64" s="67"/>
      <c r="C64" s="80" t="str">
        <f>IFERROR(VLOOKUP(J64,'Ondersteunende bronnen'!$C$4:$P$43,12,FALSE),"")</f>
        <v/>
      </c>
      <c r="D64" s="170" t="str">
        <f>IFERROR(VLOOKUP(J64,'Ondersteunende bronnen'!$C$4:$P$43,11,FALSE),"")</f>
        <v/>
      </c>
      <c r="E64" s="171"/>
      <c r="F64" s="170" t="str">
        <f>IFERROR(HYPERLINK(VLOOKUP(J64,'Ondersteunende bronnen'!$C$4:$P$43,8,FALSE),VLOOKUP(J64,'Ondersteunende bronnen'!$C$4:$P$43,7,FALSE)),"")</f>
        <v/>
      </c>
      <c r="G64" s="171"/>
      <c r="H64" s="172"/>
      <c r="I64" s="67"/>
      <c r="J64" s="1">
        <v>8</v>
      </c>
      <c r="K64" s="23"/>
    </row>
    <row r="65" spans="2:11" x14ac:dyDescent="0.45">
      <c r="B65" s="67"/>
      <c r="C65" s="80" t="str">
        <f>IFERROR(VLOOKUP(J65,'Ondersteunende bronnen'!$C$4:$P$43,12,FALSE),"")</f>
        <v/>
      </c>
      <c r="D65" s="170" t="str">
        <f>IFERROR(VLOOKUP(J65,'Ondersteunende bronnen'!$C$4:$P$43,11,FALSE),"")</f>
        <v/>
      </c>
      <c r="E65" s="171"/>
      <c r="F65" s="170" t="str">
        <f>IFERROR(HYPERLINK(VLOOKUP(J65,'Ondersteunende bronnen'!$C$4:$P$43,8,FALSE),VLOOKUP(J65,'Ondersteunende bronnen'!$C$4:$P$43,7,FALSE)),"")</f>
        <v/>
      </c>
      <c r="G65" s="171"/>
      <c r="H65" s="172"/>
      <c r="I65" s="67"/>
      <c r="J65" s="1">
        <v>9</v>
      </c>
      <c r="K65" s="23"/>
    </row>
    <row r="66" spans="2:11" x14ac:dyDescent="0.45">
      <c r="B66" s="67"/>
      <c r="C66" s="80" t="str">
        <f>IFERROR(VLOOKUP(J66,'Ondersteunende bronnen'!$C$4:$P$43,12,FALSE),"")</f>
        <v/>
      </c>
      <c r="D66" s="170" t="str">
        <f>IFERROR(VLOOKUP(J66,'Ondersteunende bronnen'!$C$4:$P$43,11,FALSE),"")</f>
        <v/>
      </c>
      <c r="E66" s="171"/>
      <c r="F66" s="170" t="str">
        <f>IFERROR(HYPERLINK(VLOOKUP(J66,'Ondersteunende bronnen'!$C$4:$P$43,8,FALSE),VLOOKUP(J66,'Ondersteunende bronnen'!$C$4:$P$43,7,FALSE)),"")</f>
        <v/>
      </c>
      <c r="G66" s="171"/>
      <c r="H66" s="172"/>
      <c r="I66" s="67"/>
      <c r="J66" s="1">
        <v>10</v>
      </c>
      <c r="K66" s="23"/>
    </row>
    <row r="67" spans="2:11" x14ac:dyDescent="0.45">
      <c r="B67" s="67"/>
      <c r="C67" s="80" t="str">
        <f>IFERROR(VLOOKUP(J67,'Ondersteunende bronnen'!$C$4:$P$43,12,FALSE),"")</f>
        <v/>
      </c>
      <c r="D67" s="170" t="str">
        <f>IFERROR(VLOOKUP(J67,'Ondersteunende bronnen'!$C$4:$P$43,11,FALSE),"")</f>
        <v/>
      </c>
      <c r="E67" s="171"/>
      <c r="F67" s="170" t="str">
        <f>IFERROR(HYPERLINK(VLOOKUP(J67,'Ondersteunende bronnen'!$C$4:$P$43,8,FALSE),VLOOKUP(J67,'Ondersteunende bronnen'!$C$4:$P$43,7,FALSE)),"")</f>
        <v/>
      </c>
      <c r="G67" s="171"/>
      <c r="H67" s="172"/>
      <c r="I67" s="67"/>
      <c r="J67" s="1">
        <v>11</v>
      </c>
      <c r="K67" s="23"/>
    </row>
    <row r="68" spans="2:11" x14ac:dyDescent="0.45">
      <c r="B68" s="67"/>
      <c r="C68" s="174" t="str">
        <f>IFERROR(VLOOKUP(12,'Ondersteunende bronnen'!$C$4:$Q$43,15,FALSE),"")</f>
        <v/>
      </c>
      <c r="D68" s="174"/>
      <c r="E68" s="174"/>
      <c r="F68" s="174"/>
      <c r="G68" s="174"/>
      <c r="H68" s="174"/>
      <c r="I68" s="67"/>
      <c r="K68" s="23"/>
    </row>
    <row r="69" spans="2:11" x14ac:dyDescent="0.45">
      <c r="B69" s="67"/>
      <c r="C69" s="165"/>
      <c r="D69" s="165"/>
      <c r="E69" s="165"/>
      <c r="F69" s="165"/>
      <c r="G69" s="165"/>
      <c r="H69" s="165"/>
      <c r="I69" s="67"/>
      <c r="K69" s="23"/>
    </row>
    <row r="70" spans="2:11" x14ac:dyDescent="0.45">
      <c r="B70" s="67"/>
      <c r="C70" s="124" t="str">
        <f>'Ondersteunende bronnen'!E44</f>
        <v>Aanvullende bronnen die ondersteuning kunnen bieden</v>
      </c>
      <c r="D70" s="72"/>
      <c r="E70" s="72"/>
      <c r="F70" s="72"/>
      <c r="G70" s="72"/>
      <c r="H70" s="72"/>
      <c r="I70" s="67"/>
      <c r="K70" s="23"/>
    </row>
    <row r="71" spans="2:11" ht="15" customHeight="1" x14ac:dyDescent="0.45">
      <c r="B71" s="67"/>
      <c r="C71" s="125" t="s">
        <v>26</v>
      </c>
      <c r="D71" s="179" t="s">
        <v>255</v>
      </c>
      <c r="E71" s="179"/>
      <c r="F71" s="180" t="s">
        <v>239</v>
      </c>
      <c r="G71" s="180"/>
      <c r="H71" s="180"/>
      <c r="I71" s="67"/>
      <c r="K71" s="23"/>
    </row>
    <row r="72" spans="2:11" x14ac:dyDescent="0.45">
      <c r="B72" s="67"/>
      <c r="C72" s="72" t="str">
        <f>IFERROR(VLOOKUP(J72,'Ondersteunende bronnen'!$C$46:$P$52,4,FALSE),"")</f>
        <v/>
      </c>
      <c r="D72" s="173" t="str">
        <f>IFERROR(VLOOKUP(J72,'Ondersteunende bronnen'!$C$46:$P$52,5,FALSE),"")</f>
        <v/>
      </c>
      <c r="E72" s="173"/>
      <c r="F72" s="173" t="str">
        <f>IFERROR(HYPERLINK(VLOOKUP(J72,'Ondersteunende bronnen'!$C$46:$P$52,8,FALSE),VLOOKUP(J72,'Ondersteunende bronnen'!$C$46:$P$52,7,FALSE)),"")</f>
        <v/>
      </c>
      <c r="G72" s="173"/>
      <c r="H72" s="173"/>
      <c r="I72" s="67"/>
      <c r="J72" s="1">
        <v>101</v>
      </c>
      <c r="K72" s="23"/>
    </row>
    <row r="73" spans="2:11" x14ac:dyDescent="0.45">
      <c r="B73" s="67"/>
      <c r="C73" s="72" t="str">
        <f>IFERROR(VLOOKUP(J73,'Ondersteunende bronnen'!$C$46:$P$52,4,FALSE),"")</f>
        <v/>
      </c>
      <c r="D73" s="173" t="str">
        <f>IFERROR(VLOOKUP(J73,'Ondersteunende bronnen'!$C$46:$P$52,5,FALSE),"")</f>
        <v/>
      </c>
      <c r="E73" s="173"/>
      <c r="F73" s="173" t="str">
        <f>IFERROR(HYPERLINK(VLOOKUP(J73,'Ondersteunende bronnen'!$C$46:$P$52,8,FALSE),VLOOKUP(J73,'Ondersteunende bronnen'!$C$46:$P$52,7,FALSE)),"")</f>
        <v/>
      </c>
      <c r="G73" s="173"/>
      <c r="H73" s="173"/>
      <c r="I73" s="67"/>
      <c r="J73" s="1">
        <v>102</v>
      </c>
      <c r="K73" s="23"/>
    </row>
    <row r="74" spans="2:11" x14ac:dyDescent="0.45">
      <c r="B74" s="67"/>
      <c r="C74" s="67"/>
      <c r="D74" s="67"/>
      <c r="E74" s="67"/>
      <c r="F74" s="67"/>
      <c r="G74" s="67"/>
      <c r="H74" s="67"/>
      <c r="I74" s="67"/>
    </row>
    <row r="75" spans="2:11" ht="15.75" customHeight="1" x14ac:dyDescent="0.45">
      <c r="B75" s="43"/>
      <c r="C75" s="175" t="str">
        <f>INFO!C28</f>
        <v>Kijk voor meer informatie over VSSR diensten op https://vssr.rijksapplicaties.nl/ of mail naar vssr.info@minjenv.nl</v>
      </c>
      <c r="D75" s="175"/>
      <c r="E75" s="175"/>
      <c r="F75" s="175"/>
      <c r="G75" s="175"/>
      <c r="H75" s="175"/>
      <c r="I75" s="43"/>
    </row>
  </sheetData>
  <mergeCells count="47">
    <mergeCell ref="E7:I7"/>
    <mergeCell ref="D57:E57"/>
    <mergeCell ref="D58:E58"/>
    <mergeCell ref="D59:E59"/>
    <mergeCell ref="D60:E60"/>
    <mergeCell ref="F51:G51"/>
    <mergeCell ref="F46:G46"/>
    <mergeCell ref="F47:G47"/>
    <mergeCell ref="F57:H57"/>
    <mergeCell ref="F58:H58"/>
    <mergeCell ref="F59:H59"/>
    <mergeCell ref="F60:H60"/>
    <mergeCell ref="C2:H2"/>
    <mergeCell ref="B3:C3"/>
    <mergeCell ref="D3:I3"/>
    <mergeCell ref="E5:I5"/>
    <mergeCell ref="E6:I6"/>
    <mergeCell ref="C75:H75"/>
    <mergeCell ref="C10:C14"/>
    <mergeCell ref="C18:C22"/>
    <mergeCell ref="C27:C42"/>
    <mergeCell ref="C47:C51"/>
    <mergeCell ref="D56:E56"/>
    <mergeCell ref="F48:G48"/>
    <mergeCell ref="F49:G49"/>
    <mergeCell ref="F50:G50"/>
    <mergeCell ref="D61:E61"/>
    <mergeCell ref="D62:E62"/>
    <mergeCell ref="D63:E63"/>
    <mergeCell ref="D71:E71"/>
    <mergeCell ref="D72:E72"/>
    <mergeCell ref="D73:E73"/>
    <mergeCell ref="F71:H71"/>
    <mergeCell ref="F72:H72"/>
    <mergeCell ref="F73:H73"/>
    <mergeCell ref="D64:E64"/>
    <mergeCell ref="D65:E65"/>
    <mergeCell ref="D66:E66"/>
    <mergeCell ref="D67:E67"/>
    <mergeCell ref="F67:H67"/>
    <mergeCell ref="C68:H68"/>
    <mergeCell ref="F61:H61"/>
    <mergeCell ref="F62:H62"/>
    <mergeCell ref="F64:H64"/>
    <mergeCell ref="F65:H65"/>
    <mergeCell ref="F66:H66"/>
    <mergeCell ref="F63:H63"/>
  </mergeCells>
  <hyperlinks>
    <hyperlink ref="C75:H75" r:id="rId1" display="https://vssr.rijksapplicaties.nl/" xr:uid="{2C4DE165-F7DA-4AC4-9132-5843357ACFCB}"/>
  </hyperlinks>
  <pageMargins left="0.7" right="0.7" top="0.75" bottom="0.75" header="0.3" footer="0.3"/>
  <pageSetup paperSize="9" orientation="portrait" r:id="rId2"/>
  <drawing r:id="rId3"/>
  <extLst>
    <ext xmlns:x14="http://schemas.microsoft.com/office/spreadsheetml/2009/9/main" uri="{78C0D931-6437-407d-A8EE-F0AAD7539E65}">
      <x14:conditionalFormattings>
        <x14:conditionalFormatting xmlns:xm="http://schemas.microsoft.com/office/excel/2006/main">
          <x14:cfRule type="expression" priority="1" id="{61E60CDD-B960-4D48-B30D-FD1005EFFC01}">
            <xm:f>'Ondersteunende bronnen'!$B$53=0</xm:f>
            <x14:dxf>
              <font>
                <color rgb="FF76D2B6"/>
              </font>
              <border>
                <left/>
                <right/>
                <top/>
                <bottom/>
                <vertical/>
                <horizontal/>
              </border>
            </x14:dxf>
          </x14:cfRule>
          <xm:sqref>C70:H70 C71:D73 F71:F73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36"/>
  <sheetViews>
    <sheetView showGridLines="0" showRowColHeaders="0" zoomScaleNormal="100" workbookViewId="0">
      <pane ySplit="8" topLeftCell="A9" activePane="bottomLeft" state="frozen"/>
      <selection activeCell="E1" sqref="E1"/>
      <selection pane="bottomLeft" activeCell="F9" sqref="F9"/>
    </sheetView>
  </sheetViews>
  <sheetFormatPr defaultColWidth="0" defaultRowHeight="14.25" zeroHeight="1" x14ac:dyDescent="0.45"/>
  <cols>
    <col min="1" max="1" width="8.59765625" style="148" customWidth="1"/>
    <col min="2" max="2" width="2.86328125" style="1" customWidth="1"/>
    <col min="3" max="3" width="28.1328125" style="1" customWidth="1"/>
    <col min="4" max="4" width="30.59765625" style="1" customWidth="1"/>
    <col min="5" max="5" width="112.59765625" style="1" customWidth="1"/>
    <col min="6" max="6" width="13" style="33" customWidth="1"/>
    <col min="7" max="7" width="2.86328125" style="1" customWidth="1"/>
    <col min="8" max="8" width="13.1328125" style="1" hidden="1" customWidth="1"/>
    <col min="9" max="9" width="14.73046875" style="1" hidden="1" customWidth="1"/>
    <col min="10" max="10" width="17.3984375" style="1" hidden="1" customWidth="1"/>
    <col min="11" max="11" width="6.265625" style="81" hidden="1" customWidth="1"/>
    <col min="12" max="12" width="6" style="1" hidden="1" customWidth="1"/>
    <col min="13" max="13" width="8.86328125" style="1" hidden="1" customWidth="1"/>
    <col min="14" max="21" width="0" style="1" hidden="1" customWidth="1"/>
    <col min="22" max="16384" width="9.1328125" style="1" hidden="1"/>
  </cols>
  <sheetData>
    <row r="1" spans="1:21" ht="45" customHeight="1" x14ac:dyDescent="0.45">
      <c r="B1" s="148"/>
      <c r="C1" s="148"/>
      <c r="D1" s="148"/>
      <c r="E1" s="148"/>
      <c r="F1" s="151"/>
      <c r="G1" s="148"/>
      <c r="K1" s="97"/>
      <c r="L1" s="191" t="str">
        <f>'Ondersteunende bronnen'!I4</f>
        <v>Strategische Aanbevelingen, onderdeel van "SOC Readiness Assistance" (Bron: VSSR)</v>
      </c>
      <c r="M1" s="191" t="str">
        <f>'Ondersteunende bronnen'!I5</f>
        <v>Strategische Aanbevelingen, onderdeel van "SOC Readiness Assistance" (Bron: VSSR)</v>
      </c>
      <c r="N1" s="191" t="str">
        <f>'Ondersteunende bronnen'!I6</f>
        <v>Security Policies, onderdeel van "SOC Readiness Assistance" (Bron: VSSR)</v>
      </c>
      <c r="O1" s="191" t="str">
        <f>'Ondersteunende bronnen'!I7</f>
        <v>Incident Response beleidsvoorbeelden en templates, onderdeel van "Incident Response Readiness" (Bron: VSSR)</v>
      </c>
      <c r="P1" s="191" t="str">
        <f>'Ondersteunende bronnen'!I8</f>
        <v>Routekaart risicomanagement (Bron: NCSC)</v>
      </c>
      <c r="Q1" s="191" t="str">
        <f>'Ondersteunende bronnen'!I9</f>
        <v>Hoe breng ik mijn te beschermen belangen in kaart? (Bron: NCSC)</v>
      </c>
      <c r="R1" s="191" t="str">
        <f>'Ondersteunende bronnen'!I10</f>
        <v>Routekaart risicomanagement (Risicobehandeling) (Bron: NCSC)</v>
      </c>
      <c r="S1" s="191" t="str">
        <f>'Ondersteunende bronnen'!I11</f>
        <v/>
      </c>
      <c r="T1" s="200" t="str">
        <f>'Ondersteunende bronnen'!I12</f>
        <v/>
      </c>
      <c r="U1" s="194" t="s">
        <v>273</v>
      </c>
    </row>
    <row r="2" spans="1:21" customFormat="1" ht="120" customHeight="1" x14ac:dyDescent="1">
      <c r="A2" s="150"/>
      <c r="B2" s="37"/>
      <c r="C2" s="181" t="s">
        <v>194</v>
      </c>
      <c r="D2" s="181"/>
      <c r="E2" s="181"/>
      <c r="F2" s="181"/>
      <c r="G2" s="47"/>
      <c r="H2" s="52"/>
      <c r="K2" s="193" t="s">
        <v>257</v>
      </c>
      <c r="L2" s="191"/>
      <c r="M2" s="191"/>
      <c r="N2" s="191"/>
      <c r="O2" s="191"/>
      <c r="P2" s="191"/>
      <c r="Q2" s="191"/>
      <c r="R2" s="191"/>
      <c r="S2" s="191"/>
      <c r="T2" s="200"/>
      <c r="U2" s="195"/>
    </row>
    <row r="3" spans="1:21" customFormat="1" ht="15" customHeight="1" x14ac:dyDescent="1">
      <c r="A3" s="150"/>
      <c r="B3" s="47"/>
      <c r="C3" s="38"/>
      <c r="D3" s="47"/>
      <c r="E3" s="47"/>
      <c r="F3" s="47"/>
      <c r="G3" s="47"/>
      <c r="H3" s="51"/>
      <c r="K3" s="193"/>
      <c r="L3" s="191"/>
      <c r="M3" s="191"/>
      <c r="N3" s="191"/>
      <c r="O3" s="191"/>
      <c r="P3" s="191"/>
      <c r="Q3" s="191"/>
      <c r="R3" s="191"/>
      <c r="S3" s="191"/>
      <c r="T3" s="200"/>
      <c r="U3" s="195"/>
    </row>
    <row r="4" spans="1:21" customFormat="1" ht="18.75" customHeight="1" x14ac:dyDescent="1">
      <c r="A4" s="150"/>
      <c r="B4" s="39"/>
      <c r="C4" s="197" t="s">
        <v>195</v>
      </c>
      <c r="D4" s="197"/>
      <c r="E4" s="197"/>
      <c r="F4" s="197"/>
      <c r="G4" s="48"/>
      <c r="H4" s="1"/>
      <c r="K4" s="193"/>
      <c r="L4" s="191"/>
      <c r="M4" s="191"/>
      <c r="N4" s="191"/>
      <c r="O4" s="191"/>
      <c r="P4" s="191"/>
      <c r="Q4" s="191"/>
      <c r="R4" s="191"/>
      <c r="S4" s="191"/>
      <c r="T4" s="200"/>
      <c r="U4" s="195"/>
    </row>
    <row r="5" spans="1:21" customFormat="1" ht="18.75" customHeight="1" x14ac:dyDescent="1">
      <c r="A5" s="150"/>
      <c r="B5" s="41"/>
      <c r="C5" s="198" t="str">
        <f>INFO!C5</f>
        <v>SOC Readiness Quickscan - Versie 2.5</v>
      </c>
      <c r="D5" s="198"/>
      <c r="E5" s="198"/>
      <c r="F5" s="198"/>
      <c r="G5" s="50"/>
      <c r="H5" s="1"/>
      <c r="K5" s="193"/>
      <c r="L5" s="191"/>
      <c r="M5" s="191"/>
      <c r="N5" s="191"/>
      <c r="O5" s="191"/>
      <c r="P5" s="191"/>
      <c r="Q5" s="191"/>
      <c r="R5" s="191"/>
      <c r="S5" s="191"/>
      <c r="T5" s="200"/>
      <c r="U5" s="195"/>
    </row>
    <row r="6" spans="1:21" customFormat="1" ht="18.75" customHeight="1" x14ac:dyDescent="0.45">
      <c r="A6" s="150"/>
      <c r="B6" s="43"/>
      <c r="C6" s="185"/>
      <c r="D6" s="185"/>
      <c r="E6" s="185"/>
      <c r="F6" s="185"/>
      <c r="G6" s="43"/>
      <c r="H6" s="1"/>
      <c r="K6" s="193"/>
      <c r="L6" s="191"/>
      <c r="M6" s="191"/>
      <c r="N6" s="191"/>
      <c r="O6" s="191"/>
      <c r="P6" s="191"/>
      <c r="Q6" s="191"/>
      <c r="R6" s="191"/>
      <c r="S6" s="191"/>
      <c r="T6" s="200"/>
      <c r="U6" s="195"/>
    </row>
    <row r="7" spans="1:21" customFormat="1" ht="18.75" customHeight="1" x14ac:dyDescent="0.45">
      <c r="A7" s="150"/>
      <c r="B7" s="44"/>
      <c r="C7" s="199"/>
      <c r="D7" s="199"/>
      <c r="E7" s="199"/>
      <c r="F7" s="199"/>
      <c r="G7" s="44"/>
      <c r="H7" s="1"/>
      <c r="K7" s="193"/>
      <c r="L7" s="191"/>
      <c r="M7" s="191"/>
      <c r="N7" s="191"/>
      <c r="O7" s="191"/>
      <c r="P7" s="191"/>
      <c r="Q7" s="191"/>
      <c r="R7" s="191"/>
      <c r="S7" s="191"/>
      <c r="T7" s="200"/>
      <c r="U7" s="195"/>
    </row>
    <row r="8" spans="1:21" s="36" customFormat="1" ht="14.65" thickBot="1" x14ac:dyDescent="0.5">
      <c r="A8" s="152"/>
      <c r="B8" s="53"/>
      <c r="C8" s="59" t="s">
        <v>26</v>
      </c>
      <c r="D8" s="59" t="s">
        <v>76</v>
      </c>
      <c r="E8" s="59" t="s">
        <v>27</v>
      </c>
      <c r="F8" s="60" t="s">
        <v>28</v>
      </c>
      <c r="G8" s="54"/>
      <c r="H8" s="84" t="s">
        <v>220</v>
      </c>
      <c r="I8" s="84" t="s">
        <v>241</v>
      </c>
      <c r="J8" s="84" t="s">
        <v>245</v>
      </c>
      <c r="K8" s="193"/>
      <c r="L8" s="192"/>
      <c r="M8" s="192"/>
      <c r="N8" s="192"/>
      <c r="O8" s="192"/>
      <c r="P8" s="192"/>
      <c r="Q8" s="192"/>
      <c r="R8" s="192"/>
      <c r="S8" s="192"/>
      <c r="T8" s="201"/>
      <c r="U8" s="195"/>
    </row>
    <row r="9" spans="1:21" ht="30" customHeight="1" x14ac:dyDescent="0.45">
      <c r="B9" s="49"/>
      <c r="C9" s="196" t="s">
        <v>152</v>
      </c>
      <c r="D9" s="61" t="s">
        <v>15</v>
      </c>
      <c r="E9" s="62" t="s">
        <v>203</v>
      </c>
      <c r="F9" s="63"/>
      <c r="G9" s="49" t="str">
        <f>IF(I9="M","*","")</f>
        <v>*</v>
      </c>
      <c r="H9" s="35" t="s">
        <v>221</v>
      </c>
      <c r="I9" s="35" t="s">
        <v>242</v>
      </c>
      <c r="J9" s="35" t="str">
        <f>IF(AND(I9="M",F9="Ja"),"Voldaan","")</f>
        <v/>
      </c>
      <c r="K9" s="193"/>
      <c r="L9" s="99" t="s">
        <v>221</v>
      </c>
      <c r="M9" s="99"/>
      <c r="N9" s="99"/>
      <c r="O9" s="99"/>
      <c r="P9" s="99"/>
      <c r="Q9" s="99"/>
      <c r="R9" s="99"/>
      <c r="S9" s="99"/>
      <c r="T9" s="136"/>
      <c r="U9" s="140" t="str">
        <f>IF(COUNTIF(L9:T9,"ja")=0,"NEE","JA")</f>
        <v>JA</v>
      </c>
    </row>
    <row r="10" spans="1:21" ht="30" customHeight="1" x14ac:dyDescent="0.45">
      <c r="B10" s="49"/>
      <c r="C10" s="196"/>
      <c r="D10" s="64" t="s">
        <v>179</v>
      </c>
      <c r="E10" s="57" t="s">
        <v>204</v>
      </c>
      <c r="F10" s="58"/>
      <c r="G10" s="49" t="str">
        <f t="shared" ref="G10:G33" si="0">IF(I10="M","*","")</f>
        <v>*</v>
      </c>
      <c r="H10" s="35" t="s">
        <v>221</v>
      </c>
      <c r="I10" s="35" t="s">
        <v>242</v>
      </c>
      <c r="J10" s="35" t="str">
        <f t="shared" ref="J10:J33" si="1">IF(AND(I10="M",F10="Ja"),"Voldaan","")</f>
        <v/>
      </c>
      <c r="K10" s="193"/>
      <c r="L10" s="98" t="s">
        <v>221</v>
      </c>
      <c r="M10" s="98"/>
      <c r="N10" s="98"/>
      <c r="O10" s="98"/>
      <c r="P10" s="98"/>
      <c r="Q10" s="98"/>
      <c r="R10" s="98"/>
      <c r="S10" s="98"/>
      <c r="T10" s="139"/>
      <c r="U10" s="141" t="str">
        <f t="shared" ref="U10:U33" si="2">IF(COUNTIF(L10:T10,"ja")=0,"NEE","JA")</f>
        <v>JA</v>
      </c>
    </row>
    <row r="11" spans="1:21" ht="45.75" customHeight="1" x14ac:dyDescent="0.45">
      <c r="B11" s="49"/>
      <c r="C11" s="196"/>
      <c r="D11" s="64" t="s">
        <v>180</v>
      </c>
      <c r="E11" s="57" t="s">
        <v>205</v>
      </c>
      <c r="F11" s="58"/>
      <c r="G11" s="49" t="str">
        <f t="shared" si="0"/>
        <v>*</v>
      </c>
      <c r="H11" s="35" t="s">
        <v>221</v>
      </c>
      <c r="I11" s="35" t="s">
        <v>242</v>
      </c>
      <c r="J11" s="35" t="str">
        <f t="shared" si="1"/>
        <v/>
      </c>
      <c r="K11" s="193"/>
      <c r="L11" s="98" t="s">
        <v>221</v>
      </c>
      <c r="M11" s="98"/>
      <c r="N11" s="98"/>
      <c r="O11" s="98"/>
      <c r="P11" s="98"/>
      <c r="Q11" s="98"/>
      <c r="R11" s="98"/>
      <c r="S11" s="98"/>
      <c r="T11" s="139"/>
      <c r="U11" s="141" t="str">
        <f t="shared" si="2"/>
        <v>JA</v>
      </c>
    </row>
    <row r="12" spans="1:21" ht="15" customHeight="1" x14ac:dyDescent="0.45">
      <c r="B12" s="49"/>
      <c r="C12" s="196"/>
      <c r="D12" s="64" t="s">
        <v>20</v>
      </c>
      <c r="E12" s="57" t="s">
        <v>154</v>
      </c>
      <c r="F12" s="58"/>
      <c r="G12" s="49" t="str">
        <f t="shared" si="0"/>
        <v>*</v>
      </c>
      <c r="H12" s="35" t="s">
        <v>221</v>
      </c>
      <c r="I12" s="35" t="s">
        <v>242</v>
      </c>
      <c r="J12" s="35" t="str">
        <f t="shared" si="1"/>
        <v/>
      </c>
      <c r="K12" s="193"/>
      <c r="L12" s="98" t="s">
        <v>221</v>
      </c>
      <c r="M12" s="98"/>
      <c r="N12" s="98"/>
      <c r="O12" s="98"/>
      <c r="P12" s="98"/>
      <c r="Q12" s="98"/>
      <c r="R12" s="98"/>
      <c r="S12" s="98"/>
      <c r="T12" s="139"/>
      <c r="U12" s="141" t="str">
        <f t="shared" si="2"/>
        <v>JA</v>
      </c>
    </row>
    <row r="13" spans="1:21" ht="15" customHeight="1" x14ac:dyDescent="0.45">
      <c r="B13" s="49"/>
      <c r="C13" s="196"/>
      <c r="D13" s="64" t="s">
        <v>14</v>
      </c>
      <c r="E13" s="57" t="s">
        <v>155</v>
      </c>
      <c r="F13" s="58"/>
      <c r="G13" s="49" t="str">
        <f t="shared" si="0"/>
        <v>*</v>
      </c>
      <c r="H13" s="35" t="s">
        <v>221</v>
      </c>
      <c r="I13" s="35" t="s">
        <v>242</v>
      </c>
      <c r="J13" s="35" t="str">
        <f t="shared" si="1"/>
        <v/>
      </c>
      <c r="K13" s="193"/>
      <c r="L13" s="98" t="s">
        <v>221</v>
      </c>
      <c r="M13" s="98"/>
      <c r="N13" s="98"/>
      <c r="O13" s="98"/>
      <c r="P13" s="98"/>
      <c r="Q13" s="98"/>
      <c r="R13" s="98"/>
      <c r="S13" s="98"/>
      <c r="T13" s="139"/>
      <c r="U13" s="141" t="str">
        <f t="shared" si="2"/>
        <v>JA</v>
      </c>
    </row>
    <row r="14" spans="1:21" ht="45.75" customHeight="1" x14ac:dyDescent="0.45">
      <c r="B14" s="49"/>
      <c r="C14" s="196"/>
      <c r="D14" s="64" t="s">
        <v>21</v>
      </c>
      <c r="E14" s="57" t="s">
        <v>235</v>
      </c>
      <c r="F14" s="58"/>
      <c r="G14" s="49" t="str">
        <f t="shared" si="0"/>
        <v>*</v>
      </c>
      <c r="H14" s="35" t="s">
        <v>221</v>
      </c>
      <c r="I14" s="35" t="s">
        <v>242</v>
      </c>
      <c r="J14" s="35" t="str">
        <f t="shared" si="1"/>
        <v/>
      </c>
      <c r="K14" s="193"/>
      <c r="L14" s="98" t="s">
        <v>221</v>
      </c>
      <c r="M14" s="98"/>
      <c r="N14" s="98"/>
      <c r="O14" s="98"/>
      <c r="P14" s="98"/>
      <c r="Q14" s="98"/>
      <c r="R14" s="98"/>
      <c r="S14" s="98"/>
      <c r="T14" s="139"/>
      <c r="U14" s="141" t="str">
        <f t="shared" si="2"/>
        <v>JA</v>
      </c>
    </row>
    <row r="15" spans="1:21" ht="19.5" customHeight="1" x14ac:dyDescent="0.45">
      <c r="B15" s="49"/>
      <c r="C15" s="196"/>
      <c r="D15" s="57" t="s">
        <v>4</v>
      </c>
      <c r="E15" s="57" t="s">
        <v>156</v>
      </c>
      <c r="F15" s="58"/>
      <c r="G15" s="49" t="str">
        <f t="shared" si="0"/>
        <v/>
      </c>
      <c r="H15" s="35" t="s">
        <v>221</v>
      </c>
      <c r="I15" s="35" t="s">
        <v>243</v>
      </c>
      <c r="J15" s="35" t="str">
        <f t="shared" si="1"/>
        <v/>
      </c>
      <c r="K15" s="193"/>
      <c r="L15" s="98" t="s">
        <v>221</v>
      </c>
      <c r="M15" s="98"/>
      <c r="N15" s="98"/>
      <c r="O15" s="98"/>
      <c r="P15" s="98"/>
      <c r="Q15" s="98"/>
      <c r="R15" s="98"/>
      <c r="S15" s="98"/>
      <c r="T15" s="139"/>
      <c r="U15" s="141" t="str">
        <f t="shared" si="2"/>
        <v>JA</v>
      </c>
    </row>
    <row r="16" spans="1:21" ht="15" customHeight="1" x14ac:dyDescent="0.45">
      <c r="B16" s="49"/>
      <c r="C16" s="196"/>
      <c r="D16" s="64" t="s">
        <v>24</v>
      </c>
      <c r="E16" s="57" t="s">
        <v>181</v>
      </c>
      <c r="F16" s="58"/>
      <c r="G16" s="49" t="str">
        <f t="shared" si="0"/>
        <v>*</v>
      </c>
      <c r="H16" s="35" t="s">
        <v>221</v>
      </c>
      <c r="I16" s="35" t="s">
        <v>242</v>
      </c>
      <c r="J16" s="35" t="str">
        <f t="shared" si="1"/>
        <v/>
      </c>
      <c r="K16" s="193"/>
      <c r="L16" s="98" t="s">
        <v>221</v>
      </c>
      <c r="M16" s="98"/>
      <c r="N16" s="98"/>
      <c r="O16" s="98"/>
      <c r="P16" s="98"/>
      <c r="Q16" s="98"/>
      <c r="R16" s="98"/>
      <c r="S16" s="98"/>
      <c r="T16" s="139"/>
      <c r="U16" s="141" t="str">
        <f t="shared" si="2"/>
        <v>JA</v>
      </c>
    </row>
    <row r="17" spans="2:21" ht="15" customHeight="1" x14ac:dyDescent="0.45">
      <c r="B17" s="49"/>
      <c r="C17" s="196"/>
      <c r="D17" s="64" t="s">
        <v>24</v>
      </c>
      <c r="E17" s="57" t="s">
        <v>18</v>
      </c>
      <c r="F17" s="164" t="str">
        <f>IF(F16="NEE",0,"")</f>
        <v/>
      </c>
      <c r="G17" s="49" t="str">
        <f t="shared" si="0"/>
        <v/>
      </c>
      <c r="H17" s="35" t="s">
        <v>221</v>
      </c>
      <c r="I17" s="35" t="s">
        <v>243</v>
      </c>
      <c r="J17" s="35" t="str">
        <f t="shared" si="1"/>
        <v/>
      </c>
      <c r="K17" s="193"/>
      <c r="L17" s="98" t="s">
        <v>221</v>
      </c>
      <c r="M17" s="98"/>
      <c r="N17" s="98"/>
      <c r="O17" s="98"/>
      <c r="P17" s="98"/>
      <c r="Q17" s="98"/>
      <c r="R17" s="98"/>
      <c r="S17" s="98"/>
      <c r="T17" s="139"/>
      <c r="U17" s="141" t="str">
        <f t="shared" si="2"/>
        <v>JA</v>
      </c>
    </row>
    <row r="18" spans="2:21" ht="15" customHeight="1" x14ac:dyDescent="0.45">
      <c r="B18" s="49"/>
      <c r="C18" s="196"/>
      <c r="D18" s="64" t="s">
        <v>24</v>
      </c>
      <c r="E18" s="57" t="s">
        <v>157</v>
      </c>
      <c r="F18" s="58" t="str">
        <f>IF(F16="NEE","NEE","")</f>
        <v/>
      </c>
      <c r="G18" s="49" t="str">
        <f t="shared" si="0"/>
        <v/>
      </c>
      <c r="H18" s="84" t="s">
        <v>221</v>
      </c>
      <c r="I18" s="84" t="s">
        <v>243</v>
      </c>
      <c r="J18" s="84" t="str">
        <f t="shared" si="1"/>
        <v/>
      </c>
      <c r="K18" s="193"/>
      <c r="L18" s="98" t="s">
        <v>221</v>
      </c>
      <c r="M18" s="98"/>
      <c r="N18" s="98"/>
      <c r="O18" s="98"/>
      <c r="P18" s="98"/>
      <c r="Q18" s="98"/>
      <c r="R18" s="98"/>
      <c r="S18" s="98"/>
      <c r="T18" s="139"/>
      <c r="U18" s="141" t="str">
        <f t="shared" si="2"/>
        <v>JA</v>
      </c>
    </row>
    <row r="19" spans="2:21" ht="15" customHeight="1" x14ac:dyDescent="0.45">
      <c r="B19" s="49"/>
      <c r="C19" s="196" t="s">
        <v>25</v>
      </c>
      <c r="D19" s="64" t="s">
        <v>22</v>
      </c>
      <c r="E19" s="57" t="s">
        <v>206</v>
      </c>
      <c r="F19" s="58"/>
      <c r="G19" s="49" t="str">
        <f t="shared" si="0"/>
        <v/>
      </c>
      <c r="H19" s="35" t="s">
        <v>221</v>
      </c>
      <c r="I19" s="35" t="s">
        <v>243</v>
      </c>
      <c r="J19" s="35" t="str">
        <f t="shared" si="1"/>
        <v/>
      </c>
      <c r="K19" s="193"/>
      <c r="L19" s="99"/>
      <c r="M19" s="99" t="s">
        <v>221</v>
      </c>
      <c r="N19" s="99"/>
      <c r="O19" s="99"/>
      <c r="P19" s="99"/>
      <c r="Q19" s="99"/>
      <c r="R19" s="99"/>
      <c r="S19" s="99"/>
      <c r="T19" s="136"/>
      <c r="U19" s="141" t="str">
        <f t="shared" si="2"/>
        <v>JA</v>
      </c>
    </row>
    <row r="20" spans="2:21" ht="15" customHeight="1" x14ac:dyDescent="0.45">
      <c r="B20" s="49"/>
      <c r="C20" s="196"/>
      <c r="D20" s="64" t="s">
        <v>29</v>
      </c>
      <c r="E20" s="57" t="s">
        <v>144</v>
      </c>
      <c r="F20" s="58"/>
      <c r="G20" s="49" t="str">
        <f t="shared" si="0"/>
        <v>*</v>
      </c>
      <c r="H20" s="35" t="s">
        <v>221</v>
      </c>
      <c r="I20" s="35" t="s">
        <v>242</v>
      </c>
      <c r="J20" s="35" t="str">
        <f t="shared" si="1"/>
        <v/>
      </c>
      <c r="K20" s="193"/>
      <c r="L20" s="98"/>
      <c r="M20" s="98" t="s">
        <v>221</v>
      </c>
      <c r="N20" s="98"/>
      <c r="O20" s="98"/>
      <c r="P20" s="98"/>
      <c r="Q20" s="98"/>
      <c r="R20" s="98"/>
      <c r="S20" s="98"/>
      <c r="T20" s="139"/>
      <c r="U20" s="141" t="str">
        <f t="shared" si="2"/>
        <v>JA</v>
      </c>
    </row>
    <row r="21" spans="2:21" ht="15" customHeight="1" x14ac:dyDescent="0.45">
      <c r="B21" s="49"/>
      <c r="C21" s="196"/>
      <c r="D21" s="64" t="s">
        <v>34</v>
      </c>
      <c r="E21" s="57" t="s">
        <v>145</v>
      </c>
      <c r="F21" s="58"/>
      <c r="G21" s="49" t="str">
        <f t="shared" si="0"/>
        <v/>
      </c>
      <c r="H21" s="84" t="s">
        <v>221</v>
      </c>
      <c r="I21" s="84" t="s">
        <v>243</v>
      </c>
      <c r="J21" s="84" t="str">
        <f t="shared" si="1"/>
        <v/>
      </c>
      <c r="K21" s="193"/>
      <c r="L21" s="98"/>
      <c r="M21" s="98" t="s">
        <v>221</v>
      </c>
      <c r="N21" s="98"/>
      <c r="O21" s="98"/>
      <c r="P21" s="98"/>
      <c r="Q21" s="98"/>
      <c r="R21" s="98"/>
      <c r="S21" s="98"/>
      <c r="T21" s="139"/>
      <c r="U21" s="141" t="str">
        <f t="shared" si="2"/>
        <v>JA</v>
      </c>
    </row>
    <row r="22" spans="2:21" ht="15" customHeight="1" x14ac:dyDescent="0.45">
      <c r="B22" s="49"/>
      <c r="C22" s="196" t="s">
        <v>2</v>
      </c>
      <c r="D22" s="64" t="s">
        <v>23</v>
      </c>
      <c r="E22" s="57" t="s">
        <v>130</v>
      </c>
      <c r="F22" s="58"/>
      <c r="G22" s="49" t="str">
        <f t="shared" si="0"/>
        <v>*</v>
      </c>
      <c r="H22" s="35" t="s">
        <v>221</v>
      </c>
      <c r="I22" s="35" t="s">
        <v>242</v>
      </c>
      <c r="J22" s="35" t="str">
        <f t="shared" si="1"/>
        <v/>
      </c>
      <c r="K22" s="193"/>
      <c r="L22" s="98"/>
      <c r="M22" s="98"/>
      <c r="N22" s="98" t="s">
        <v>221</v>
      </c>
      <c r="O22" s="98"/>
      <c r="P22" s="98"/>
      <c r="Q22" s="98"/>
      <c r="R22" s="98"/>
      <c r="S22" s="98"/>
      <c r="T22" s="139"/>
      <c r="U22" s="141" t="str">
        <f t="shared" si="2"/>
        <v>JA</v>
      </c>
    </row>
    <row r="23" spans="2:21" ht="15" customHeight="1" x14ac:dyDescent="0.45">
      <c r="B23" s="49"/>
      <c r="C23" s="196"/>
      <c r="D23" s="64" t="s">
        <v>143</v>
      </c>
      <c r="E23" s="57" t="s">
        <v>17</v>
      </c>
      <c r="F23" s="58"/>
      <c r="G23" s="49" t="str">
        <f t="shared" si="0"/>
        <v>*</v>
      </c>
      <c r="H23" s="35" t="s">
        <v>221</v>
      </c>
      <c r="I23" s="35" t="s">
        <v>242</v>
      </c>
      <c r="J23" s="35" t="str">
        <f t="shared" si="1"/>
        <v/>
      </c>
      <c r="K23" s="193"/>
      <c r="L23" s="98"/>
      <c r="M23" s="98"/>
      <c r="N23" s="98" t="s">
        <v>221</v>
      </c>
      <c r="O23" s="98"/>
      <c r="P23" s="98"/>
      <c r="Q23" s="98"/>
      <c r="R23" s="98"/>
      <c r="S23" s="98"/>
      <c r="T23" s="139"/>
      <c r="U23" s="141" t="str">
        <f t="shared" si="2"/>
        <v>JA</v>
      </c>
    </row>
    <row r="24" spans="2:21" ht="15" customHeight="1" x14ac:dyDescent="0.45">
      <c r="B24" s="49"/>
      <c r="C24" s="196"/>
      <c r="D24" s="64" t="s">
        <v>117</v>
      </c>
      <c r="E24" s="57" t="s">
        <v>186</v>
      </c>
      <c r="F24" s="58"/>
      <c r="G24" s="49" t="str">
        <f t="shared" si="0"/>
        <v>*</v>
      </c>
      <c r="H24" s="35" t="s">
        <v>221</v>
      </c>
      <c r="I24" s="35" t="s">
        <v>242</v>
      </c>
      <c r="J24" s="35" t="str">
        <f t="shared" si="1"/>
        <v/>
      </c>
      <c r="K24" s="193"/>
      <c r="L24" s="98"/>
      <c r="M24" s="98"/>
      <c r="N24" s="98"/>
      <c r="O24" s="98" t="s">
        <v>221</v>
      </c>
      <c r="P24" s="98"/>
      <c r="Q24" s="98"/>
      <c r="R24" s="98"/>
      <c r="S24" s="98"/>
      <c r="T24" s="139"/>
      <c r="U24" s="141" t="str">
        <f t="shared" si="2"/>
        <v>JA</v>
      </c>
    </row>
    <row r="25" spans="2:21" ht="15" customHeight="1" x14ac:dyDescent="0.45">
      <c r="B25" s="49"/>
      <c r="C25" s="196"/>
      <c r="D25" s="64" t="s">
        <v>114</v>
      </c>
      <c r="E25" s="57" t="s">
        <v>187</v>
      </c>
      <c r="F25" s="58" t="str">
        <f>IF($F$23="NEE","NEE","")</f>
        <v/>
      </c>
      <c r="G25" s="49" t="str">
        <f t="shared" si="0"/>
        <v/>
      </c>
      <c r="H25" s="35" t="s">
        <v>221</v>
      </c>
      <c r="I25" s="35" t="s">
        <v>243</v>
      </c>
      <c r="J25" s="35" t="str">
        <f t="shared" si="1"/>
        <v/>
      </c>
      <c r="K25" s="193"/>
      <c r="L25" s="98"/>
      <c r="M25" s="98"/>
      <c r="N25" s="98" t="s">
        <v>221</v>
      </c>
      <c r="O25" s="98"/>
      <c r="P25" s="98"/>
      <c r="Q25" s="98"/>
      <c r="R25" s="98"/>
      <c r="S25" s="98"/>
      <c r="T25" s="139"/>
      <c r="U25" s="141" t="str">
        <f t="shared" si="2"/>
        <v>JA</v>
      </c>
    </row>
    <row r="26" spans="2:21" ht="15" customHeight="1" x14ac:dyDescent="0.45">
      <c r="B26" s="49"/>
      <c r="C26" s="196"/>
      <c r="D26" s="64" t="s">
        <v>115</v>
      </c>
      <c r="E26" s="57" t="s">
        <v>188</v>
      </c>
      <c r="F26" s="58" t="str">
        <f>IF($F$23="NEE","NEE","")</f>
        <v/>
      </c>
      <c r="G26" s="49" t="str">
        <f t="shared" si="0"/>
        <v/>
      </c>
      <c r="H26" s="35" t="s">
        <v>221</v>
      </c>
      <c r="I26" s="35" t="s">
        <v>243</v>
      </c>
      <c r="J26" s="35" t="str">
        <f t="shared" si="1"/>
        <v/>
      </c>
      <c r="K26" s="193"/>
      <c r="L26" s="98"/>
      <c r="M26" s="98"/>
      <c r="N26" s="98" t="s">
        <v>221</v>
      </c>
      <c r="O26" s="98"/>
      <c r="P26" s="98"/>
      <c r="Q26" s="98"/>
      <c r="R26" s="98"/>
      <c r="S26" s="98"/>
      <c r="T26" s="139"/>
      <c r="U26" s="141" t="str">
        <f t="shared" si="2"/>
        <v>JA</v>
      </c>
    </row>
    <row r="27" spans="2:21" ht="15" customHeight="1" x14ac:dyDescent="0.45">
      <c r="B27" s="49"/>
      <c r="C27" s="196"/>
      <c r="D27" s="64" t="s">
        <v>116</v>
      </c>
      <c r="E27" s="57" t="s">
        <v>189</v>
      </c>
      <c r="F27" s="58" t="str">
        <f>IF($F$23="NEE","NEE","")</f>
        <v/>
      </c>
      <c r="G27" s="49" t="str">
        <f t="shared" si="0"/>
        <v/>
      </c>
      <c r="H27" s="84" t="s">
        <v>221</v>
      </c>
      <c r="I27" s="84" t="s">
        <v>243</v>
      </c>
      <c r="J27" s="84" t="str">
        <f t="shared" si="1"/>
        <v/>
      </c>
      <c r="K27" s="193"/>
      <c r="L27" s="98"/>
      <c r="M27" s="98"/>
      <c r="N27" s="98" t="s">
        <v>221</v>
      </c>
      <c r="O27" s="98"/>
      <c r="P27" s="98"/>
      <c r="Q27" s="98"/>
      <c r="R27" s="98"/>
      <c r="S27" s="98"/>
      <c r="T27" s="139"/>
      <c r="U27" s="141" t="str">
        <f t="shared" si="2"/>
        <v>JA</v>
      </c>
    </row>
    <row r="28" spans="2:21" ht="15" customHeight="1" x14ac:dyDescent="0.45">
      <c r="B28" s="49"/>
      <c r="C28" s="196" t="s">
        <v>48</v>
      </c>
      <c r="D28" s="57" t="s">
        <v>158</v>
      </c>
      <c r="E28" s="57" t="s">
        <v>182</v>
      </c>
      <c r="F28" s="58"/>
      <c r="G28" s="49" t="str">
        <f t="shared" si="0"/>
        <v/>
      </c>
      <c r="H28" s="35" t="s">
        <v>221</v>
      </c>
      <c r="I28" s="35" t="s">
        <v>243</v>
      </c>
      <c r="J28" s="35" t="str">
        <f t="shared" si="1"/>
        <v/>
      </c>
      <c r="K28" s="193"/>
      <c r="L28" s="98"/>
      <c r="M28" s="98"/>
      <c r="N28" s="98"/>
      <c r="O28" s="98"/>
      <c r="P28" s="98" t="s">
        <v>221</v>
      </c>
      <c r="Q28" s="98"/>
      <c r="R28" s="98"/>
      <c r="S28" s="98"/>
      <c r="T28" s="139"/>
      <c r="U28" s="141" t="str">
        <f t="shared" si="2"/>
        <v>JA</v>
      </c>
    </row>
    <row r="29" spans="2:21" ht="15" customHeight="1" x14ac:dyDescent="0.45">
      <c r="B29" s="49"/>
      <c r="C29" s="196"/>
      <c r="D29" s="57" t="s">
        <v>158</v>
      </c>
      <c r="E29" s="57" t="s">
        <v>139</v>
      </c>
      <c r="F29" s="58"/>
      <c r="G29" s="49" t="str">
        <f t="shared" si="0"/>
        <v>*</v>
      </c>
      <c r="H29" s="35" t="s">
        <v>221</v>
      </c>
      <c r="I29" s="35" t="s">
        <v>242</v>
      </c>
      <c r="J29" s="35" t="str">
        <f t="shared" si="1"/>
        <v/>
      </c>
      <c r="K29" s="193"/>
      <c r="L29" s="98"/>
      <c r="M29" s="98"/>
      <c r="N29" s="98"/>
      <c r="O29" s="98"/>
      <c r="P29" s="98"/>
      <c r="Q29" s="98" t="s">
        <v>221</v>
      </c>
      <c r="R29" s="98"/>
      <c r="S29" s="98"/>
      <c r="T29" s="139"/>
      <c r="U29" s="141" t="str">
        <f t="shared" si="2"/>
        <v>JA</v>
      </c>
    </row>
    <row r="30" spans="2:21" ht="15" customHeight="1" x14ac:dyDescent="0.45">
      <c r="B30" s="49"/>
      <c r="C30" s="196"/>
      <c r="D30" s="57" t="s">
        <v>19</v>
      </c>
      <c r="E30" s="57" t="s">
        <v>207</v>
      </c>
      <c r="F30" s="58"/>
      <c r="G30" s="49" t="str">
        <f t="shared" si="0"/>
        <v/>
      </c>
      <c r="H30" s="35" t="s">
        <v>221</v>
      </c>
      <c r="I30" s="35" t="s">
        <v>243</v>
      </c>
      <c r="J30" s="35" t="str">
        <f t="shared" si="1"/>
        <v/>
      </c>
      <c r="K30" s="193"/>
      <c r="L30" s="98"/>
      <c r="M30" s="98"/>
      <c r="N30" s="98"/>
      <c r="O30" s="98"/>
      <c r="P30" s="98"/>
      <c r="Q30" s="98"/>
      <c r="R30" s="98" t="s">
        <v>221</v>
      </c>
      <c r="S30" s="98"/>
      <c r="T30" s="139"/>
      <c r="U30" s="141" t="str">
        <f t="shared" si="2"/>
        <v>JA</v>
      </c>
    </row>
    <row r="31" spans="2:21" ht="15" customHeight="1" x14ac:dyDescent="0.45">
      <c r="B31" s="49"/>
      <c r="C31" s="196"/>
      <c r="D31" s="57" t="s">
        <v>111</v>
      </c>
      <c r="E31" s="57" t="s">
        <v>153</v>
      </c>
      <c r="F31" s="58" t="str">
        <f>IF($F$28="NEE","NEE","")</f>
        <v/>
      </c>
      <c r="G31" s="49" t="str">
        <f t="shared" si="0"/>
        <v/>
      </c>
      <c r="H31" s="35" t="s">
        <v>221</v>
      </c>
      <c r="I31" s="35" t="s">
        <v>243</v>
      </c>
      <c r="J31" s="35" t="str">
        <f t="shared" si="1"/>
        <v/>
      </c>
      <c r="K31" s="193"/>
      <c r="L31" s="98"/>
      <c r="M31" s="98"/>
      <c r="N31" s="98"/>
      <c r="O31" s="98"/>
      <c r="P31" s="98"/>
      <c r="Q31" s="98"/>
      <c r="R31" s="98" t="s">
        <v>221</v>
      </c>
      <c r="S31" s="98"/>
      <c r="T31" s="139"/>
      <c r="U31" s="141" t="str">
        <f t="shared" si="2"/>
        <v>JA</v>
      </c>
    </row>
    <row r="32" spans="2:21" ht="15" customHeight="1" x14ac:dyDescent="0.45">
      <c r="B32" s="49"/>
      <c r="C32" s="196"/>
      <c r="D32" s="57" t="s">
        <v>48</v>
      </c>
      <c r="E32" s="57" t="s">
        <v>129</v>
      </c>
      <c r="F32" s="58" t="str">
        <f>IF($F$28="NEE","NEE","")</f>
        <v/>
      </c>
      <c r="G32" s="49" t="str">
        <f t="shared" si="0"/>
        <v/>
      </c>
      <c r="H32" s="35" t="s">
        <v>221</v>
      </c>
      <c r="I32" s="35" t="s">
        <v>243</v>
      </c>
      <c r="J32" s="35" t="str">
        <f t="shared" si="1"/>
        <v/>
      </c>
      <c r="K32" s="193"/>
      <c r="L32" s="98"/>
      <c r="M32" s="98"/>
      <c r="N32" s="98"/>
      <c r="O32" s="98"/>
      <c r="P32" s="98"/>
      <c r="Q32" s="98"/>
      <c r="R32" s="98" t="s">
        <v>221</v>
      </c>
      <c r="S32" s="98"/>
      <c r="T32" s="139"/>
      <c r="U32" s="141" t="str">
        <f t="shared" si="2"/>
        <v>JA</v>
      </c>
    </row>
    <row r="33" spans="2:21" ht="15" customHeight="1" thickBot="1" x14ac:dyDescent="0.5">
      <c r="B33" s="49"/>
      <c r="C33" s="196"/>
      <c r="D33" s="57" t="s">
        <v>48</v>
      </c>
      <c r="E33" s="57" t="s">
        <v>107</v>
      </c>
      <c r="F33" s="58" t="str">
        <f>IF($F$28="NEE","NEE","")</f>
        <v/>
      </c>
      <c r="G33" s="49" t="str">
        <f t="shared" si="0"/>
        <v/>
      </c>
      <c r="H33" s="84" t="s">
        <v>221</v>
      </c>
      <c r="I33" s="84" t="s">
        <v>243</v>
      </c>
      <c r="J33" s="84" t="str">
        <f t="shared" si="1"/>
        <v/>
      </c>
      <c r="K33" s="193"/>
      <c r="L33" s="98"/>
      <c r="M33" s="98"/>
      <c r="N33" s="98"/>
      <c r="O33" s="98"/>
      <c r="P33" s="98"/>
      <c r="Q33" s="98"/>
      <c r="R33" s="98" t="s">
        <v>221</v>
      </c>
      <c r="S33" s="98"/>
      <c r="T33" s="139"/>
      <c r="U33" s="142" t="str">
        <f t="shared" si="2"/>
        <v>JA</v>
      </c>
    </row>
    <row r="34" spans="2:21" x14ac:dyDescent="0.45">
      <c r="B34" s="49"/>
      <c r="C34" s="189" t="s">
        <v>276</v>
      </c>
      <c r="D34" s="189"/>
      <c r="E34" s="189"/>
      <c r="F34" s="189"/>
      <c r="G34" s="49"/>
      <c r="H34" s="35"/>
      <c r="I34" s="35"/>
      <c r="J34" s="35"/>
      <c r="K34" s="145"/>
      <c r="L34" s="35"/>
      <c r="M34" s="35"/>
      <c r="N34" s="35"/>
      <c r="O34" s="35"/>
      <c r="P34" s="35"/>
      <c r="Q34" s="35"/>
      <c r="R34" s="35"/>
      <c r="S34" s="35"/>
      <c r="T34" s="35"/>
      <c r="U34" s="35"/>
    </row>
    <row r="35" spans="2:21" x14ac:dyDescent="0.45">
      <c r="B35" s="49"/>
      <c r="C35" s="190"/>
      <c r="D35" s="190"/>
      <c r="E35" s="190"/>
      <c r="F35" s="190"/>
      <c r="G35" s="49"/>
      <c r="J35" s="35"/>
    </row>
    <row r="36" spans="2:21" ht="18.75" customHeight="1" x14ac:dyDescent="0.45">
      <c r="B36" s="43"/>
      <c r="C36" s="175" t="str">
        <f>INFO!C28</f>
        <v>Kijk voor meer informatie over VSSR diensten op https://vssr.rijksapplicaties.nl/ of mail naar vssr.info@minjenv.nl</v>
      </c>
      <c r="D36" s="175"/>
      <c r="E36" s="175"/>
      <c r="F36" s="175"/>
      <c r="G36" s="43"/>
    </row>
  </sheetData>
  <mergeCells count="22">
    <mergeCell ref="U1:U8"/>
    <mergeCell ref="C36:F36"/>
    <mergeCell ref="C28:C33"/>
    <mergeCell ref="C9:C18"/>
    <mergeCell ref="C22:C27"/>
    <mergeCell ref="C19:C21"/>
    <mergeCell ref="C2:F2"/>
    <mergeCell ref="C4:F4"/>
    <mergeCell ref="C5:F5"/>
    <mergeCell ref="C6:F6"/>
    <mergeCell ref="C7:F7"/>
    <mergeCell ref="Q1:Q8"/>
    <mergeCell ref="R1:R8"/>
    <mergeCell ref="S1:S8"/>
    <mergeCell ref="T1:T8"/>
    <mergeCell ref="P1:P8"/>
    <mergeCell ref="C34:F35"/>
    <mergeCell ref="M1:M8"/>
    <mergeCell ref="L1:L8"/>
    <mergeCell ref="N1:N8"/>
    <mergeCell ref="O1:O8"/>
    <mergeCell ref="K2:K33"/>
  </mergeCells>
  <conditionalFormatting sqref="D17:E18">
    <cfRule type="expression" dxfId="12" priority="6">
      <formula>$F$16="NEE"</formula>
    </cfRule>
  </conditionalFormatting>
  <conditionalFormatting sqref="D24:E27">
    <cfRule type="expression" dxfId="11" priority="5">
      <formula>$F$23="NEE"</formula>
    </cfRule>
  </conditionalFormatting>
  <conditionalFormatting sqref="D31:E33">
    <cfRule type="expression" dxfId="10" priority="4">
      <formula>$F$28="NEE"</formula>
    </cfRule>
  </conditionalFormatting>
  <conditionalFormatting sqref="F17">
    <cfRule type="expression" dxfId="9" priority="3">
      <formula>NOT($F$16="")</formula>
    </cfRule>
  </conditionalFormatting>
  <conditionalFormatting sqref="U9:U34">
    <cfRule type="expression" dxfId="8" priority="1">
      <formula>U9="NEE"</formula>
    </cfRule>
  </conditionalFormatting>
  <dataValidations count="1">
    <dataValidation type="list" allowBlank="1" showInputMessage="1" showErrorMessage="1" sqref="L9:T34" xr:uid="{F8D95E17-0C50-4908-9991-3D01F6DAB8A9}">
      <formula1>"ja,nee"</formula1>
    </dataValidation>
  </dataValidations>
  <hyperlinks>
    <hyperlink ref="C36:F36" r:id="rId1" display="https://vssr.rijksapplicaties.nl/" xr:uid="{CE350683-C1BD-40C4-9D6C-FDE2E476B932}"/>
  </hyperlinks>
  <pageMargins left="0.7" right="0.7" top="0.75" bottom="0.75" header="0.3" footer="0.3"/>
  <pageSetup orientation="portrait" r:id="rId2"/>
  <ignoredErrors>
    <ignoredError sqref="F25:F27 F31:F33 F17:F18" unlockedFormula="1"/>
  </ignoredErrors>
  <drawing r:id="rId3"/>
  <extLst>
    <ext xmlns:x14="http://schemas.microsoft.com/office/spreadsheetml/2009/9/main" uri="{CCE6A557-97BC-4b89-ADB6-D9C93CAAB3DF}">
      <x14:dataValidations xmlns:xm="http://schemas.microsoft.com/office/excel/2006/main" count="3">
        <x14:dataValidation type="list" allowBlank="1" showInputMessage="1" showErrorMessage="1" prompt="JA/NEE" xr:uid="{00000000-0002-0000-0200-000000000000}">
          <x14:formula1>
            <xm:f>DATA!$B$4:$B$5</xm:f>
          </x14:formula1>
          <xm:sqref>F9:F16 F18:F23 F28:F33</xm:sqref>
        </x14:dataValidation>
        <x14:dataValidation type="list" allowBlank="1" showInputMessage="1" showErrorMessage="1" xr:uid="{161F1F85-E720-4996-A7CC-7BC7AE1C877B}">
          <x14:formula1>
            <xm:f>DATA!$B$4:$B$5</xm:f>
          </x14:formula1>
          <xm:sqref>F24:F27</xm:sqref>
        </x14:dataValidation>
        <x14:dataValidation type="list" allowBlank="1" showInputMessage="1" showErrorMessage="1" prompt="Aantal" xr:uid="{A9A8374A-B682-4EC0-B07D-2F3920F110C2}">
          <x14:formula1>
            <xm:f>DATA!$G$4:$G$10</xm:f>
          </x14:formula1>
          <xm:sqref>F17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O72"/>
  <sheetViews>
    <sheetView showGridLines="0" showRowColHeaders="0" zoomScaleNormal="100" workbookViewId="0">
      <pane ySplit="8" topLeftCell="A9" activePane="bottomLeft" state="frozen"/>
      <selection pane="bottomLeft" activeCell="F9" sqref="F9"/>
    </sheetView>
  </sheetViews>
  <sheetFormatPr defaultColWidth="0" defaultRowHeight="14.25" zeroHeight="1" x14ac:dyDescent="0.45"/>
  <cols>
    <col min="1" max="1" width="8.59765625" style="148" customWidth="1"/>
    <col min="2" max="2" width="2.73046875" style="1" customWidth="1"/>
    <col min="3" max="3" width="25.1328125" style="1" bestFit="1" customWidth="1"/>
    <col min="4" max="4" width="47.3984375" style="1" bestFit="1" customWidth="1"/>
    <col min="5" max="5" width="116.59765625" style="1" customWidth="1"/>
    <col min="6" max="6" width="10.73046875" style="35" customWidth="1"/>
    <col min="7" max="7" width="2.86328125" style="1" customWidth="1"/>
    <col min="8" max="8" width="9.3984375" style="35" hidden="1" customWidth="1"/>
    <col min="9" max="9" width="11.1328125" style="35" hidden="1" customWidth="1"/>
    <col min="10" max="10" width="16.59765625" style="1" hidden="1" customWidth="1"/>
    <col min="11" max="11" width="3.1328125" style="81" hidden="1" customWidth="1"/>
    <col min="12" max="40" width="9.1328125" style="1" hidden="1" customWidth="1"/>
    <col min="41" max="41" width="9.1328125" style="28" hidden="1" customWidth="1"/>
    <col min="42" max="16384" width="9.1328125" style="1" hidden="1"/>
  </cols>
  <sheetData>
    <row r="1" spans="1:41" ht="45" customHeight="1" x14ac:dyDescent="0.45">
      <c r="B1" s="148"/>
      <c r="C1" s="148"/>
      <c r="D1" s="148"/>
      <c r="E1" s="148"/>
      <c r="F1" s="149"/>
      <c r="G1" s="148"/>
      <c r="L1" s="208" t="str">
        <f>'Ondersteunende bronnen'!I15</f>
        <v>Hoe breng ik mijn te beschermen belangen/kroonjuwelen in kaart? (Bron: NCSC)</v>
      </c>
      <c r="M1" s="208" t="str">
        <f>'Ondersteunende bronnen'!I16</f>
        <v>SOC Operational Readiness (Organisatie &amp; Proces) (Bron: VSSR)</v>
      </c>
      <c r="N1" s="208" t="str">
        <f>'Ondersteunende bronnen'!I17</f>
        <v>SOC Operational Readiness (Configuratie &amp; Logging) (Bron: VSSR)</v>
      </c>
      <c r="O1" s="208" t="str">
        <f>'Ondersteunende bronnen'!I18</f>
        <v>Voorbereiden op Incident Response, onderdeel van Incident Response Readiness (Bron: VSSR)</v>
      </c>
      <c r="P1" s="208" t="str">
        <f>'Ondersteunende bronnen'!I19</f>
        <v>Opstellen en/of controleren van een eigen Cyber Incident Response Plan (CIRP) (Bron: VSSR)</v>
      </c>
      <c r="Q1" s="208" t="str">
        <f>'Ondersteunende bronnen'!I20</f>
        <v>Handvatten voor het aanbesteden van monitoring- en detectiediensten (HAVIK) (Bron: VSSR)</v>
      </c>
      <c r="R1" s="208" t="str">
        <f>'Ondersteunende bronnen'!I21</f>
        <v>Veilige instellingen voor apparatuur &amp; software (Bron: NCSC)</v>
      </c>
      <c r="S1" s="208" t="str">
        <f>'Ondersteunende bronnen'!I22</f>
        <v>Hou je apparaten en software up-to-date (Bron: NCSC)</v>
      </c>
      <c r="T1" s="208" t="str">
        <f>'Ondersteunende bronnen'!I23</f>
        <v>Kwetsbaarhedenbeheer (Interne assets) (Bron: VSSR)</v>
      </c>
      <c r="U1" s="208" t="str">
        <f>'Ondersteunende bronnen'!I24</f>
        <v>Kwetsbaarhedenbeheer (Externe assets) (Bron: BZK/CIO Rijk)</v>
      </c>
      <c r="V1" s="208" t="str">
        <f>'Ondersteunende bronnen'!I25</f>
        <v>Implementatie van detectieoplossingen (Bron: NCSC)</v>
      </c>
      <c r="W1" s="208" t="str">
        <f>'Ondersteunende bronnen'!I26</f>
        <v>Reserve tav. C! (Bron: VSSR)</v>
      </c>
      <c r="X1" s="208" t="str">
        <f>'Ondersteunende bronnen'!I27</f>
        <v>Routekaart risicomanagement (Bron: NCSC)</v>
      </c>
      <c r="Y1" s="208" t="str">
        <f>'Ondersteunende bronnen'!I28</f>
        <v>ShadowTrackr (Bron: VSSR)</v>
      </c>
      <c r="Z1" s="202" t="str">
        <f>'Ondersteunende bronnen'!I29</f>
        <v>Strategische Aanbevelingen, onderdeel van "SOC Readiness Assistance" (Bron: VSSR)</v>
      </c>
      <c r="AA1" s="202" t="str">
        <f>'Ondersteunende bronnen'!I30</f>
        <v>Reserve (Bron: )</v>
      </c>
      <c r="AB1" s="202" t="str">
        <f>'Ondersteunende bronnen'!I31</f>
        <v>Reserve (Bron: )</v>
      </c>
      <c r="AC1" s="202" t="str">
        <f>'Ondersteunende bronnen'!I32</f>
        <v>Reserve (Bron: )</v>
      </c>
      <c r="AD1" s="202" t="str">
        <f>'Ondersteunende bronnen'!I33</f>
        <v>Reserve (Bron: )</v>
      </c>
      <c r="AE1" s="202" t="str">
        <f>'Ondersteunende bronnen'!I34</f>
        <v>Reserve (Bron: )</v>
      </c>
      <c r="AF1" s="202" t="str">
        <f>'Ondersteunende bronnen'!I35</f>
        <v>Reserve (Bron: )</v>
      </c>
      <c r="AG1" s="202" t="str">
        <f>'Ondersteunende bronnen'!I36</f>
        <v>Reserve (Bron: )</v>
      </c>
      <c r="AH1" s="202" t="str">
        <f>'Ondersteunende bronnen'!I37</f>
        <v>Reserve (Bron: )</v>
      </c>
      <c r="AI1" s="202" t="str">
        <f>'Ondersteunende bronnen'!I38</f>
        <v>Reserve (Bron: )</v>
      </c>
      <c r="AJ1" s="202" t="str">
        <f>'Ondersteunende bronnen'!I39</f>
        <v>Reserve (Bron: )</v>
      </c>
      <c r="AK1" s="202" t="str">
        <f>'Ondersteunende bronnen'!I40</f>
        <v>Reserve (Bron: )</v>
      </c>
      <c r="AL1" s="202" t="str">
        <f>'Ondersteunende bronnen'!I41</f>
        <v>Reserve (Bron: )</v>
      </c>
      <c r="AM1" s="202" t="str">
        <f>'Ondersteunende bronnen'!I42</f>
        <v>Reserve (Bron: )</v>
      </c>
      <c r="AN1" s="205" t="str">
        <f>'Ondersteunende bronnen'!I43</f>
        <v>Reserve (Bron: )</v>
      </c>
      <c r="AO1" s="194" t="s">
        <v>273</v>
      </c>
    </row>
    <row r="2" spans="1:41" customFormat="1" ht="120" customHeight="1" x14ac:dyDescent="1">
      <c r="A2" s="150"/>
      <c r="B2" s="37"/>
      <c r="C2" s="181" t="s">
        <v>194</v>
      </c>
      <c r="D2" s="181"/>
      <c r="E2" s="181"/>
      <c r="F2" s="181"/>
      <c r="G2" s="47"/>
      <c r="H2" s="82"/>
      <c r="I2" s="83"/>
      <c r="K2" s="209"/>
      <c r="L2" s="208"/>
      <c r="M2" s="208"/>
      <c r="N2" s="208"/>
      <c r="O2" s="208"/>
      <c r="P2" s="208"/>
      <c r="Q2" s="208"/>
      <c r="R2" s="208"/>
      <c r="S2" s="208"/>
      <c r="T2" s="208"/>
      <c r="U2" s="208"/>
      <c r="V2" s="208"/>
      <c r="W2" s="208"/>
      <c r="X2" s="208"/>
      <c r="Y2" s="208"/>
      <c r="Z2" s="203"/>
      <c r="AA2" s="203"/>
      <c r="AB2" s="203"/>
      <c r="AC2" s="203"/>
      <c r="AD2" s="203"/>
      <c r="AE2" s="203"/>
      <c r="AF2" s="203"/>
      <c r="AG2" s="203"/>
      <c r="AH2" s="203"/>
      <c r="AI2" s="203"/>
      <c r="AJ2" s="203"/>
      <c r="AK2" s="203"/>
      <c r="AL2" s="203"/>
      <c r="AM2" s="203"/>
      <c r="AN2" s="206"/>
      <c r="AO2" s="195"/>
    </row>
    <row r="3" spans="1:41" customFormat="1" ht="14.25" customHeight="1" x14ac:dyDescent="1">
      <c r="A3" s="150"/>
      <c r="B3" s="47"/>
      <c r="C3" s="38"/>
      <c r="D3" s="47"/>
      <c r="E3" s="47"/>
      <c r="F3" s="47"/>
      <c r="G3" s="47"/>
      <c r="H3" s="83"/>
      <c r="I3" s="83"/>
      <c r="K3" s="209"/>
      <c r="L3" s="208"/>
      <c r="M3" s="208"/>
      <c r="N3" s="208"/>
      <c r="O3" s="208"/>
      <c r="P3" s="208"/>
      <c r="Q3" s="208"/>
      <c r="R3" s="208"/>
      <c r="S3" s="208"/>
      <c r="T3" s="208"/>
      <c r="U3" s="208"/>
      <c r="V3" s="208"/>
      <c r="W3" s="208"/>
      <c r="X3" s="208"/>
      <c r="Y3" s="208"/>
      <c r="Z3" s="203"/>
      <c r="AA3" s="203"/>
      <c r="AB3" s="203"/>
      <c r="AC3" s="203"/>
      <c r="AD3" s="203"/>
      <c r="AE3" s="203"/>
      <c r="AF3" s="203"/>
      <c r="AG3" s="203"/>
      <c r="AH3" s="203"/>
      <c r="AI3" s="203"/>
      <c r="AJ3" s="203"/>
      <c r="AK3" s="203"/>
      <c r="AL3" s="203"/>
      <c r="AM3" s="203"/>
      <c r="AN3" s="206"/>
      <c r="AO3" s="195"/>
    </row>
    <row r="4" spans="1:41" customFormat="1" ht="18.75" customHeight="1" x14ac:dyDescent="1">
      <c r="A4" s="150"/>
      <c r="B4" s="39"/>
      <c r="C4" s="197" t="s">
        <v>195</v>
      </c>
      <c r="D4" s="197"/>
      <c r="E4" s="197"/>
      <c r="F4" s="197"/>
      <c r="G4" s="48"/>
      <c r="H4" s="35"/>
      <c r="I4" s="35"/>
      <c r="K4" s="209"/>
      <c r="L4" s="208"/>
      <c r="M4" s="208"/>
      <c r="N4" s="208"/>
      <c r="O4" s="208"/>
      <c r="P4" s="208"/>
      <c r="Q4" s="208"/>
      <c r="R4" s="208"/>
      <c r="S4" s="208"/>
      <c r="T4" s="208"/>
      <c r="U4" s="208"/>
      <c r="V4" s="208"/>
      <c r="W4" s="208"/>
      <c r="X4" s="208"/>
      <c r="Y4" s="208"/>
      <c r="Z4" s="203"/>
      <c r="AA4" s="203"/>
      <c r="AB4" s="203"/>
      <c r="AC4" s="203"/>
      <c r="AD4" s="203"/>
      <c r="AE4" s="203"/>
      <c r="AF4" s="203"/>
      <c r="AG4" s="203"/>
      <c r="AH4" s="203"/>
      <c r="AI4" s="203"/>
      <c r="AJ4" s="203"/>
      <c r="AK4" s="203"/>
      <c r="AL4" s="203"/>
      <c r="AM4" s="203"/>
      <c r="AN4" s="206"/>
      <c r="AO4" s="195"/>
    </row>
    <row r="5" spans="1:41" customFormat="1" ht="18.75" customHeight="1" x14ac:dyDescent="1">
      <c r="A5" s="150"/>
      <c r="B5" s="41"/>
      <c r="C5" s="198" t="str">
        <f>INFO!C5</f>
        <v>SOC Readiness Quickscan - Versie 2.5</v>
      </c>
      <c r="D5" s="198"/>
      <c r="E5" s="198"/>
      <c r="F5" s="198"/>
      <c r="G5" s="50"/>
      <c r="H5" s="35"/>
      <c r="I5" s="35"/>
      <c r="K5" s="209"/>
      <c r="L5" s="208"/>
      <c r="M5" s="208"/>
      <c r="N5" s="208"/>
      <c r="O5" s="208"/>
      <c r="P5" s="208"/>
      <c r="Q5" s="208"/>
      <c r="R5" s="208"/>
      <c r="S5" s="208"/>
      <c r="T5" s="208"/>
      <c r="U5" s="208"/>
      <c r="V5" s="208"/>
      <c r="W5" s="208"/>
      <c r="X5" s="208"/>
      <c r="Y5" s="208"/>
      <c r="Z5" s="203"/>
      <c r="AA5" s="203"/>
      <c r="AB5" s="203"/>
      <c r="AC5" s="203"/>
      <c r="AD5" s="203"/>
      <c r="AE5" s="203"/>
      <c r="AF5" s="203"/>
      <c r="AG5" s="203"/>
      <c r="AH5" s="203"/>
      <c r="AI5" s="203"/>
      <c r="AJ5" s="203"/>
      <c r="AK5" s="203"/>
      <c r="AL5" s="203"/>
      <c r="AM5" s="203"/>
      <c r="AN5" s="206"/>
      <c r="AO5" s="195"/>
    </row>
    <row r="6" spans="1:41" customFormat="1" ht="18.75" customHeight="1" x14ac:dyDescent="0.45">
      <c r="A6" s="150"/>
      <c r="B6" s="43"/>
      <c r="C6" s="185"/>
      <c r="D6" s="185"/>
      <c r="E6" s="185"/>
      <c r="F6" s="185"/>
      <c r="G6" s="43"/>
      <c r="H6" s="35"/>
      <c r="I6" s="35"/>
      <c r="K6" s="209"/>
      <c r="L6" s="208"/>
      <c r="M6" s="208"/>
      <c r="N6" s="208"/>
      <c r="O6" s="208"/>
      <c r="P6" s="208"/>
      <c r="Q6" s="208"/>
      <c r="R6" s="208"/>
      <c r="S6" s="208"/>
      <c r="T6" s="208"/>
      <c r="U6" s="208"/>
      <c r="V6" s="208"/>
      <c r="W6" s="208"/>
      <c r="X6" s="208"/>
      <c r="Y6" s="208"/>
      <c r="Z6" s="203"/>
      <c r="AA6" s="203"/>
      <c r="AB6" s="203"/>
      <c r="AC6" s="203"/>
      <c r="AD6" s="203"/>
      <c r="AE6" s="203"/>
      <c r="AF6" s="203"/>
      <c r="AG6" s="203"/>
      <c r="AH6" s="203"/>
      <c r="AI6" s="203"/>
      <c r="AJ6" s="203"/>
      <c r="AK6" s="203"/>
      <c r="AL6" s="203"/>
      <c r="AM6" s="203"/>
      <c r="AN6" s="206"/>
      <c r="AO6" s="195"/>
    </row>
    <row r="7" spans="1:41" customFormat="1" ht="18.75" customHeight="1" x14ac:dyDescent="0.45">
      <c r="A7" s="150"/>
      <c r="B7" s="44"/>
      <c r="C7" s="199"/>
      <c r="D7" s="199"/>
      <c r="E7" s="199"/>
      <c r="F7" s="199"/>
      <c r="G7" s="44"/>
      <c r="H7" s="35"/>
      <c r="I7" s="35"/>
      <c r="K7" s="209"/>
      <c r="L7" s="208"/>
      <c r="M7" s="208"/>
      <c r="N7" s="208"/>
      <c r="O7" s="208"/>
      <c r="P7" s="208"/>
      <c r="Q7" s="208"/>
      <c r="R7" s="208"/>
      <c r="S7" s="208"/>
      <c r="T7" s="208"/>
      <c r="U7" s="208"/>
      <c r="V7" s="208"/>
      <c r="W7" s="208"/>
      <c r="X7" s="208"/>
      <c r="Y7" s="208"/>
      <c r="Z7" s="203"/>
      <c r="AA7" s="203"/>
      <c r="AB7" s="203"/>
      <c r="AC7" s="203"/>
      <c r="AD7" s="203"/>
      <c r="AE7" s="203"/>
      <c r="AF7" s="203"/>
      <c r="AG7" s="203"/>
      <c r="AH7" s="203"/>
      <c r="AI7" s="203"/>
      <c r="AJ7" s="203"/>
      <c r="AK7" s="203"/>
      <c r="AL7" s="203"/>
      <c r="AM7" s="203"/>
      <c r="AN7" s="206"/>
      <c r="AO7" s="195"/>
    </row>
    <row r="8" spans="1:41" ht="15" customHeight="1" x14ac:dyDescent="0.45">
      <c r="B8" s="49"/>
      <c r="C8" s="55" t="s">
        <v>26</v>
      </c>
      <c r="D8" s="55" t="s">
        <v>76</v>
      </c>
      <c r="E8" s="55" t="s">
        <v>27</v>
      </c>
      <c r="F8" s="56" t="s">
        <v>28</v>
      </c>
      <c r="G8" s="49"/>
      <c r="H8" s="35" t="s">
        <v>220</v>
      </c>
      <c r="I8" s="35" t="s">
        <v>241</v>
      </c>
      <c r="J8" s="35" t="s">
        <v>245</v>
      </c>
      <c r="K8" s="209"/>
      <c r="L8" s="208"/>
      <c r="M8" s="208"/>
      <c r="N8" s="208"/>
      <c r="O8" s="208"/>
      <c r="P8" s="208"/>
      <c r="Q8" s="208"/>
      <c r="R8" s="208"/>
      <c r="S8" s="208"/>
      <c r="T8" s="208"/>
      <c r="U8" s="208"/>
      <c r="V8" s="208"/>
      <c r="W8" s="208"/>
      <c r="X8" s="208"/>
      <c r="Y8" s="208"/>
      <c r="Z8" s="204"/>
      <c r="AA8" s="204"/>
      <c r="AB8" s="204"/>
      <c r="AC8" s="204"/>
      <c r="AD8" s="204"/>
      <c r="AE8" s="204"/>
      <c r="AF8" s="204"/>
      <c r="AG8" s="204"/>
      <c r="AH8" s="204"/>
      <c r="AI8" s="204"/>
      <c r="AJ8" s="204"/>
      <c r="AK8" s="204"/>
      <c r="AL8" s="204"/>
      <c r="AM8" s="204"/>
      <c r="AN8" s="207"/>
      <c r="AO8" s="195"/>
    </row>
    <row r="9" spans="1:41" x14ac:dyDescent="0.45">
      <c r="B9" s="49"/>
      <c r="C9" s="196" t="s">
        <v>30</v>
      </c>
      <c r="D9" s="57" t="s">
        <v>159</v>
      </c>
      <c r="E9" s="57" t="s">
        <v>196</v>
      </c>
      <c r="F9" s="58"/>
      <c r="G9" s="49" t="str">
        <f>IF(I9="M","*","")</f>
        <v/>
      </c>
      <c r="H9" s="35" t="s">
        <v>221</v>
      </c>
      <c r="I9" s="35" t="s">
        <v>244</v>
      </c>
      <c r="J9" s="1" t="str">
        <f>IF(AND(I9="M",F9="Ja"),"Voldaan","")</f>
        <v/>
      </c>
      <c r="K9" s="209"/>
      <c r="L9" s="132" t="s">
        <v>265</v>
      </c>
      <c r="M9" s="132" t="s">
        <v>265</v>
      </c>
      <c r="N9" s="132" t="s">
        <v>265</v>
      </c>
      <c r="O9" s="132" t="s">
        <v>265</v>
      </c>
      <c r="P9" s="132" t="s">
        <v>265</v>
      </c>
      <c r="Q9" s="132" t="s">
        <v>265</v>
      </c>
      <c r="R9" s="132" t="s">
        <v>265</v>
      </c>
      <c r="S9" s="132" t="s">
        <v>265</v>
      </c>
      <c r="T9" s="132" t="s">
        <v>265</v>
      </c>
      <c r="U9" s="132" t="s">
        <v>265</v>
      </c>
      <c r="V9" s="132" t="s">
        <v>265</v>
      </c>
      <c r="W9" s="132" t="s">
        <v>265</v>
      </c>
      <c r="X9" s="132" t="s">
        <v>265</v>
      </c>
      <c r="Y9" s="132" t="s">
        <v>265</v>
      </c>
      <c r="Z9" s="132"/>
      <c r="AA9" s="132"/>
      <c r="AB9" s="132"/>
      <c r="AC9" s="132"/>
      <c r="AD9" s="132"/>
      <c r="AE9" s="162"/>
      <c r="AF9" s="132"/>
      <c r="AG9" s="162"/>
      <c r="AH9" s="132"/>
      <c r="AI9" s="162"/>
      <c r="AJ9" s="132"/>
      <c r="AK9" s="162"/>
      <c r="AL9" s="132"/>
      <c r="AM9" s="132"/>
      <c r="AN9" s="162"/>
      <c r="AO9" s="137" t="s">
        <v>265</v>
      </c>
    </row>
    <row r="10" spans="1:41" x14ac:dyDescent="0.45">
      <c r="B10" s="49"/>
      <c r="C10" s="196"/>
      <c r="D10" s="57" t="s">
        <v>160</v>
      </c>
      <c r="E10" s="57" t="s">
        <v>303</v>
      </c>
      <c r="F10" s="58"/>
      <c r="G10" s="49" t="str">
        <f t="shared" ref="G10:G60" si="0">IF(I10="M","*","")</f>
        <v>*</v>
      </c>
      <c r="H10" s="35" t="s">
        <v>221</v>
      </c>
      <c r="I10" s="35" t="s">
        <v>242</v>
      </c>
      <c r="J10" s="1" t="str">
        <f>IF(AND(I10="M",F10="Ja"),"Voldaan","")</f>
        <v/>
      </c>
      <c r="K10" s="209"/>
      <c r="L10" s="99"/>
      <c r="M10" s="99"/>
      <c r="N10" s="99"/>
      <c r="O10" s="99"/>
      <c r="P10" s="99"/>
      <c r="Q10" s="99"/>
      <c r="R10" s="99"/>
      <c r="S10" s="99"/>
      <c r="T10" s="99"/>
      <c r="U10" s="99"/>
      <c r="V10" s="99"/>
      <c r="W10" s="99"/>
      <c r="X10" s="99"/>
      <c r="Y10" s="99"/>
      <c r="Z10" s="99" t="s">
        <v>221</v>
      </c>
      <c r="AA10" s="99"/>
      <c r="AB10" s="99"/>
      <c r="AC10" s="99"/>
      <c r="AD10" s="99"/>
      <c r="AE10" s="84"/>
      <c r="AF10" s="99"/>
      <c r="AG10" s="84"/>
      <c r="AH10" s="99"/>
      <c r="AI10" s="84"/>
      <c r="AJ10" s="99"/>
      <c r="AK10" s="84"/>
      <c r="AL10" s="99"/>
      <c r="AM10" s="99"/>
      <c r="AN10" s="84"/>
      <c r="AO10" s="138" t="str">
        <f>IF(COUNTIF(L10:AN10,"ja")=0,"NEE","JA")</f>
        <v>JA</v>
      </c>
    </row>
    <row r="11" spans="1:41" ht="30" customHeight="1" x14ac:dyDescent="0.45">
      <c r="B11" s="49"/>
      <c r="C11" s="196"/>
      <c r="D11" s="57" t="s">
        <v>160</v>
      </c>
      <c r="E11" s="57" t="s">
        <v>219</v>
      </c>
      <c r="F11" s="58"/>
      <c r="G11" s="49" t="str">
        <f t="shared" si="0"/>
        <v/>
      </c>
      <c r="H11" s="35" t="s">
        <v>221</v>
      </c>
      <c r="I11" s="35" t="s">
        <v>243</v>
      </c>
      <c r="J11" s="1" t="str">
        <f t="shared" ref="J11:J60" si="1">IF(AND(I11="M",F11="Ja"),"Voldaan","")</f>
        <v/>
      </c>
      <c r="K11" s="209"/>
      <c r="L11" s="99"/>
      <c r="M11" s="99"/>
      <c r="N11" s="99"/>
      <c r="O11" s="99"/>
      <c r="P11" s="99"/>
      <c r="Q11" s="99"/>
      <c r="R11" s="99"/>
      <c r="S11" s="99"/>
      <c r="T11" s="99"/>
      <c r="U11" s="99"/>
      <c r="V11" s="99"/>
      <c r="W11" s="99"/>
      <c r="X11" s="99"/>
      <c r="Y11" s="99"/>
      <c r="Z11" s="99" t="s">
        <v>221</v>
      </c>
      <c r="AA11" s="99"/>
      <c r="AB11" s="99"/>
      <c r="AC11" s="99"/>
      <c r="AD11" s="99"/>
      <c r="AE11" s="84"/>
      <c r="AF11" s="99"/>
      <c r="AG11" s="84"/>
      <c r="AH11" s="99"/>
      <c r="AI11" s="84"/>
      <c r="AJ11" s="99"/>
      <c r="AK11" s="84"/>
      <c r="AL11" s="99"/>
      <c r="AM11" s="99"/>
      <c r="AN11" s="84"/>
      <c r="AO11" s="138" t="str">
        <f t="shared" ref="AO11:AO14" si="2">IF(COUNTIF(L11:AN11,"ja")=0,"NEE","JA")</f>
        <v>JA</v>
      </c>
    </row>
    <row r="12" spans="1:41" x14ac:dyDescent="0.45">
      <c r="B12" s="49"/>
      <c r="C12" s="196"/>
      <c r="D12" s="57" t="s">
        <v>160</v>
      </c>
      <c r="E12" s="57" t="s">
        <v>140</v>
      </c>
      <c r="F12" s="58" t="str">
        <f>IF($F$10="NEE","NEE","")</f>
        <v/>
      </c>
      <c r="G12" s="49" t="str">
        <f t="shared" si="0"/>
        <v/>
      </c>
      <c r="H12" s="35" t="s">
        <v>221</v>
      </c>
      <c r="I12" s="35" t="s">
        <v>243</v>
      </c>
      <c r="J12" s="1" t="str">
        <f t="shared" si="1"/>
        <v/>
      </c>
      <c r="K12" s="209"/>
      <c r="L12" s="99"/>
      <c r="M12" s="99"/>
      <c r="N12" s="99"/>
      <c r="O12" s="99"/>
      <c r="P12" s="99"/>
      <c r="Q12" s="99"/>
      <c r="R12" s="99"/>
      <c r="S12" s="99"/>
      <c r="T12" s="99"/>
      <c r="U12" s="99"/>
      <c r="V12" s="99"/>
      <c r="W12" s="99"/>
      <c r="X12" s="99"/>
      <c r="Y12" s="99"/>
      <c r="Z12" s="99"/>
      <c r="AA12" s="99"/>
      <c r="AB12" s="99"/>
      <c r="AC12" s="99"/>
      <c r="AD12" s="99"/>
      <c r="AE12" s="84"/>
      <c r="AF12" s="99"/>
      <c r="AG12" s="84"/>
      <c r="AH12" s="99"/>
      <c r="AI12" s="84"/>
      <c r="AJ12" s="99"/>
      <c r="AK12" s="84"/>
      <c r="AL12" s="99"/>
      <c r="AM12" s="99"/>
      <c r="AN12" s="84"/>
      <c r="AO12" s="138" t="str">
        <f t="shared" si="2"/>
        <v>NEE</v>
      </c>
    </row>
    <row r="13" spans="1:41" x14ac:dyDescent="0.45">
      <c r="B13" s="49"/>
      <c r="C13" s="196"/>
      <c r="D13" s="57" t="s">
        <v>66</v>
      </c>
      <c r="E13" s="57" t="s">
        <v>161</v>
      </c>
      <c r="F13" s="58" t="str">
        <f>IF($F$10="NEE","NEE","")</f>
        <v/>
      </c>
      <c r="G13" s="49" t="str">
        <f t="shared" si="0"/>
        <v/>
      </c>
      <c r="H13" s="35" t="s">
        <v>221</v>
      </c>
      <c r="I13" s="35" t="s">
        <v>243</v>
      </c>
      <c r="J13" s="1" t="str">
        <f t="shared" si="1"/>
        <v/>
      </c>
      <c r="K13" s="209"/>
      <c r="L13" s="99"/>
      <c r="M13" s="99"/>
      <c r="N13" s="99"/>
      <c r="O13" s="99"/>
      <c r="P13" s="99"/>
      <c r="Q13" s="99"/>
      <c r="R13" s="99"/>
      <c r="S13" s="99"/>
      <c r="T13" s="99"/>
      <c r="U13" s="99"/>
      <c r="V13" s="99"/>
      <c r="W13" s="99"/>
      <c r="X13" s="99"/>
      <c r="Y13" s="99"/>
      <c r="Z13" s="99" t="s">
        <v>221</v>
      </c>
      <c r="AA13" s="99"/>
      <c r="AB13" s="99"/>
      <c r="AC13" s="99"/>
      <c r="AD13" s="99"/>
      <c r="AE13" s="84"/>
      <c r="AF13" s="99"/>
      <c r="AG13" s="84"/>
      <c r="AH13" s="99"/>
      <c r="AI13" s="84"/>
      <c r="AJ13" s="99"/>
      <c r="AK13" s="84"/>
      <c r="AL13" s="99"/>
      <c r="AM13" s="99"/>
      <c r="AN13" s="84"/>
      <c r="AO13" s="138" t="str">
        <f t="shared" si="2"/>
        <v>JA</v>
      </c>
    </row>
    <row r="14" spans="1:41" x14ac:dyDescent="0.45">
      <c r="B14" s="49"/>
      <c r="C14" s="196"/>
      <c r="D14" s="57" t="s">
        <v>165</v>
      </c>
      <c r="E14" s="57" t="s">
        <v>164</v>
      </c>
      <c r="F14" s="58"/>
      <c r="G14" s="49" t="str">
        <f t="shared" si="0"/>
        <v/>
      </c>
      <c r="H14" s="35" t="s">
        <v>221</v>
      </c>
      <c r="I14" s="35" t="s">
        <v>243</v>
      </c>
      <c r="J14" s="1" t="str">
        <f t="shared" si="1"/>
        <v/>
      </c>
      <c r="K14" s="209"/>
      <c r="L14" s="99"/>
      <c r="M14" s="99"/>
      <c r="N14" s="99"/>
      <c r="O14" s="99"/>
      <c r="P14" s="99"/>
      <c r="Q14" s="99"/>
      <c r="R14" s="99"/>
      <c r="S14" s="99"/>
      <c r="T14" s="99"/>
      <c r="U14" s="99"/>
      <c r="V14" s="99"/>
      <c r="W14" s="99"/>
      <c r="X14" s="99"/>
      <c r="Y14" s="99"/>
      <c r="Z14" s="99"/>
      <c r="AA14" s="99"/>
      <c r="AB14" s="99"/>
      <c r="AC14" s="99"/>
      <c r="AD14" s="99"/>
      <c r="AE14" s="84"/>
      <c r="AF14" s="99"/>
      <c r="AG14" s="84"/>
      <c r="AH14" s="99"/>
      <c r="AI14" s="84"/>
      <c r="AJ14" s="99"/>
      <c r="AK14" s="84"/>
      <c r="AL14" s="99"/>
      <c r="AM14" s="99"/>
      <c r="AN14" s="84"/>
      <c r="AO14" s="138" t="str">
        <f t="shared" si="2"/>
        <v>NEE</v>
      </c>
    </row>
    <row r="15" spans="1:41" x14ac:dyDescent="0.45">
      <c r="B15" s="49"/>
      <c r="C15" s="196"/>
      <c r="D15" s="57" t="s">
        <v>39</v>
      </c>
      <c r="E15" s="57" t="s">
        <v>122</v>
      </c>
      <c r="F15" s="58"/>
      <c r="G15" s="49" t="str">
        <f t="shared" si="0"/>
        <v/>
      </c>
      <c r="H15" s="35" t="s">
        <v>222</v>
      </c>
      <c r="I15" s="35" t="s">
        <v>244</v>
      </c>
      <c r="J15" s="1" t="str">
        <f t="shared" si="1"/>
        <v/>
      </c>
      <c r="K15" s="209"/>
      <c r="L15" s="132" t="s">
        <v>265</v>
      </c>
      <c r="M15" s="132" t="s">
        <v>265</v>
      </c>
      <c r="N15" s="132" t="s">
        <v>265</v>
      </c>
      <c r="O15" s="132" t="s">
        <v>265</v>
      </c>
      <c r="P15" s="132" t="s">
        <v>265</v>
      </c>
      <c r="Q15" s="132" t="s">
        <v>265</v>
      </c>
      <c r="R15" s="132" t="s">
        <v>265</v>
      </c>
      <c r="S15" s="132" t="s">
        <v>265</v>
      </c>
      <c r="T15" s="132" t="s">
        <v>265</v>
      </c>
      <c r="U15" s="132" t="s">
        <v>265</v>
      </c>
      <c r="V15" s="132" t="s">
        <v>265</v>
      </c>
      <c r="W15" s="132" t="s">
        <v>265</v>
      </c>
      <c r="X15" s="132" t="s">
        <v>265</v>
      </c>
      <c r="Y15" s="132" t="s">
        <v>265</v>
      </c>
      <c r="Z15" s="132"/>
      <c r="AA15" s="132"/>
      <c r="AB15" s="132"/>
      <c r="AC15" s="132"/>
      <c r="AD15" s="132"/>
      <c r="AE15" s="162"/>
      <c r="AF15" s="132"/>
      <c r="AG15" s="162"/>
      <c r="AH15" s="132"/>
      <c r="AI15" s="162"/>
      <c r="AJ15" s="132"/>
      <c r="AK15" s="162"/>
      <c r="AL15" s="132"/>
      <c r="AM15" s="132"/>
      <c r="AN15" s="162"/>
      <c r="AO15" s="137" t="s">
        <v>265</v>
      </c>
    </row>
    <row r="16" spans="1:41" ht="15.75" customHeight="1" x14ac:dyDescent="0.45">
      <c r="B16" s="49"/>
      <c r="C16" s="196"/>
      <c r="D16" s="57" t="s">
        <v>39</v>
      </c>
      <c r="E16" s="57" t="s">
        <v>123</v>
      </c>
      <c r="F16" s="58"/>
      <c r="G16" s="49" t="str">
        <f t="shared" si="0"/>
        <v/>
      </c>
      <c r="H16" s="35" t="s">
        <v>222</v>
      </c>
      <c r="I16" s="35" t="s">
        <v>244</v>
      </c>
      <c r="J16" s="1" t="str">
        <f t="shared" si="1"/>
        <v/>
      </c>
      <c r="K16" s="209"/>
      <c r="L16" s="132" t="s">
        <v>265</v>
      </c>
      <c r="M16" s="132" t="s">
        <v>265</v>
      </c>
      <c r="N16" s="132" t="s">
        <v>265</v>
      </c>
      <c r="O16" s="132" t="s">
        <v>265</v>
      </c>
      <c r="P16" s="132" t="s">
        <v>265</v>
      </c>
      <c r="Q16" s="132" t="s">
        <v>265</v>
      </c>
      <c r="R16" s="132" t="s">
        <v>265</v>
      </c>
      <c r="S16" s="132" t="s">
        <v>265</v>
      </c>
      <c r="T16" s="132" t="s">
        <v>265</v>
      </c>
      <c r="U16" s="132" t="s">
        <v>265</v>
      </c>
      <c r="V16" s="132" t="s">
        <v>265</v>
      </c>
      <c r="W16" s="132" t="s">
        <v>265</v>
      </c>
      <c r="X16" s="132" t="s">
        <v>265</v>
      </c>
      <c r="Y16" s="132" t="s">
        <v>265</v>
      </c>
      <c r="Z16" s="132"/>
      <c r="AA16" s="132"/>
      <c r="AB16" s="132"/>
      <c r="AC16" s="132"/>
      <c r="AD16" s="132"/>
      <c r="AE16" s="162"/>
      <c r="AF16" s="132"/>
      <c r="AG16" s="162"/>
      <c r="AH16" s="132"/>
      <c r="AI16" s="162"/>
      <c r="AJ16" s="132"/>
      <c r="AK16" s="162"/>
      <c r="AL16" s="132"/>
      <c r="AM16" s="132"/>
      <c r="AN16" s="162"/>
      <c r="AO16" s="137" t="s">
        <v>265</v>
      </c>
    </row>
    <row r="17" spans="2:41" x14ac:dyDescent="0.45">
      <c r="B17" s="49"/>
      <c r="C17" s="196" t="s">
        <v>53</v>
      </c>
      <c r="D17" s="57" t="s">
        <v>3</v>
      </c>
      <c r="E17" s="57" t="s">
        <v>141</v>
      </c>
      <c r="F17" s="58"/>
      <c r="G17" s="49" t="str">
        <f t="shared" si="0"/>
        <v>*</v>
      </c>
      <c r="H17" s="35" t="s">
        <v>221</v>
      </c>
      <c r="I17" s="35" t="s">
        <v>242</v>
      </c>
      <c r="J17" s="1" t="str">
        <f t="shared" si="1"/>
        <v/>
      </c>
      <c r="K17" s="209"/>
      <c r="L17" s="99" t="s">
        <v>221</v>
      </c>
      <c r="M17" s="99"/>
      <c r="N17" s="99"/>
      <c r="O17" s="99"/>
      <c r="P17" s="99"/>
      <c r="Q17" s="99"/>
      <c r="R17" s="99"/>
      <c r="S17" s="99"/>
      <c r="T17" s="99"/>
      <c r="U17" s="99"/>
      <c r="V17" s="99"/>
      <c r="W17" s="99"/>
      <c r="X17" s="99"/>
      <c r="Y17" s="99"/>
      <c r="Z17" s="99"/>
      <c r="AA17" s="99"/>
      <c r="AB17" s="99"/>
      <c r="AC17" s="99"/>
      <c r="AD17" s="99"/>
      <c r="AE17" s="84"/>
      <c r="AF17" s="99"/>
      <c r="AG17" s="84"/>
      <c r="AH17" s="99"/>
      <c r="AI17" s="84"/>
      <c r="AJ17" s="99"/>
      <c r="AK17" s="84"/>
      <c r="AL17" s="99"/>
      <c r="AM17" s="99"/>
      <c r="AN17" s="84"/>
      <c r="AO17" s="138" t="str">
        <f t="shared" ref="AO17:AO46" si="3">IF(COUNTIF(L17:AN17,"ja")=0,"NEE","JA")</f>
        <v>JA</v>
      </c>
    </row>
    <row r="18" spans="2:41" x14ac:dyDescent="0.45">
      <c r="B18" s="49"/>
      <c r="C18" s="196"/>
      <c r="D18" s="57" t="s">
        <v>5</v>
      </c>
      <c r="E18" s="57" t="s">
        <v>142</v>
      </c>
      <c r="F18" s="58"/>
      <c r="G18" s="49" t="str">
        <f t="shared" si="0"/>
        <v/>
      </c>
      <c r="H18" s="35" t="s">
        <v>221</v>
      </c>
      <c r="I18" s="35" t="s">
        <v>243</v>
      </c>
      <c r="J18" s="1" t="str">
        <f t="shared" si="1"/>
        <v/>
      </c>
      <c r="K18" s="209"/>
      <c r="L18" s="99"/>
      <c r="M18" s="99"/>
      <c r="N18" s="99"/>
      <c r="O18" s="99"/>
      <c r="P18" s="99"/>
      <c r="Q18" s="99"/>
      <c r="R18" s="99"/>
      <c r="S18" s="99"/>
      <c r="T18" s="99"/>
      <c r="U18" s="99"/>
      <c r="V18" s="99"/>
      <c r="W18" s="99"/>
      <c r="X18" s="99"/>
      <c r="Y18" s="99"/>
      <c r="Z18" s="99"/>
      <c r="AA18" s="99"/>
      <c r="AB18" s="99"/>
      <c r="AC18" s="99"/>
      <c r="AD18" s="99"/>
      <c r="AE18" s="84"/>
      <c r="AF18" s="99"/>
      <c r="AG18" s="84"/>
      <c r="AH18" s="99"/>
      <c r="AI18" s="84"/>
      <c r="AJ18" s="99"/>
      <c r="AK18" s="84"/>
      <c r="AL18" s="99"/>
      <c r="AM18" s="99"/>
      <c r="AN18" s="84"/>
      <c r="AO18" s="138" t="str">
        <f t="shared" si="3"/>
        <v>NEE</v>
      </c>
    </row>
    <row r="19" spans="2:41" x14ac:dyDescent="0.45">
      <c r="B19" s="49"/>
      <c r="C19" s="196"/>
      <c r="D19" s="57" t="s">
        <v>103</v>
      </c>
      <c r="E19" s="57" t="s">
        <v>146</v>
      </c>
      <c r="F19" s="58"/>
      <c r="G19" s="49" t="str">
        <f t="shared" si="0"/>
        <v/>
      </c>
      <c r="H19" s="35" t="s">
        <v>221</v>
      </c>
      <c r="I19" s="35" t="s">
        <v>243</v>
      </c>
      <c r="J19" s="1" t="str">
        <f t="shared" si="1"/>
        <v/>
      </c>
      <c r="K19" s="209"/>
      <c r="L19" s="99"/>
      <c r="M19" s="99" t="s">
        <v>221</v>
      </c>
      <c r="N19" s="99"/>
      <c r="O19" s="99"/>
      <c r="P19" s="99"/>
      <c r="Q19" s="99"/>
      <c r="R19" s="99"/>
      <c r="S19" s="99"/>
      <c r="T19" s="99"/>
      <c r="U19" s="99"/>
      <c r="V19" s="99"/>
      <c r="W19" s="99"/>
      <c r="X19" s="99"/>
      <c r="Y19" s="99"/>
      <c r="Z19" s="99"/>
      <c r="AA19" s="99"/>
      <c r="AB19" s="99"/>
      <c r="AC19" s="99"/>
      <c r="AD19" s="99"/>
      <c r="AE19" s="84"/>
      <c r="AF19" s="99"/>
      <c r="AG19" s="84"/>
      <c r="AH19" s="99"/>
      <c r="AI19" s="84"/>
      <c r="AJ19" s="99"/>
      <c r="AK19" s="84"/>
      <c r="AL19" s="99"/>
      <c r="AM19" s="99"/>
      <c r="AN19" s="84"/>
      <c r="AO19" s="138" t="str">
        <f t="shared" si="3"/>
        <v>JA</v>
      </c>
    </row>
    <row r="20" spans="2:41" x14ac:dyDescent="0.45">
      <c r="B20" s="49"/>
      <c r="C20" s="196"/>
      <c r="D20" s="57" t="s">
        <v>104</v>
      </c>
      <c r="E20" s="57" t="s">
        <v>147</v>
      </c>
      <c r="F20" s="58"/>
      <c r="G20" s="49" t="str">
        <f t="shared" si="0"/>
        <v/>
      </c>
      <c r="H20" s="35" t="s">
        <v>221</v>
      </c>
      <c r="I20" s="35" t="s">
        <v>243</v>
      </c>
      <c r="J20" s="1" t="str">
        <f t="shared" si="1"/>
        <v/>
      </c>
      <c r="K20" s="209"/>
      <c r="L20" s="99"/>
      <c r="M20" s="99" t="s">
        <v>221</v>
      </c>
      <c r="N20" s="99"/>
      <c r="O20" s="99"/>
      <c r="P20" s="99"/>
      <c r="Q20" s="99"/>
      <c r="R20" s="99"/>
      <c r="S20" s="99"/>
      <c r="T20" s="99"/>
      <c r="U20" s="99"/>
      <c r="V20" s="99"/>
      <c r="W20" s="99"/>
      <c r="X20" s="99"/>
      <c r="Y20" s="99"/>
      <c r="Z20" s="99"/>
      <c r="AA20" s="99"/>
      <c r="AB20" s="99"/>
      <c r="AC20" s="99"/>
      <c r="AD20" s="99"/>
      <c r="AE20" s="84"/>
      <c r="AF20" s="99"/>
      <c r="AG20" s="84"/>
      <c r="AH20" s="99"/>
      <c r="AI20" s="84"/>
      <c r="AJ20" s="99"/>
      <c r="AK20" s="84"/>
      <c r="AL20" s="99"/>
      <c r="AM20" s="99"/>
      <c r="AN20" s="84"/>
      <c r="AO20" s="138" t="str">
        <f t="shared" si="3"/>
        <v>JA</v>
      </c>
    </row>
    <row r="21" spans="2:41" x14ac:dyDescent="0.45">
      <c r="B21" s="49"/>
      <c r="C21" s="196"/>
      <c r="D21" s="57" t="s">
        <v>38</v>
      </c>
      <c r="E21" s="57" t="s">
        <v>166</v>
      </c>
      <c r="F21" s="58"/>
      <c r="G21" s="49" t="str">
        <f t="shared" si="0"/>
        <v>*</v>
      </c>
      <c r="H21" s="35" t="s">
        <v>221</v>
      </c>
      <c r="I21" s="35" t="s">
        <v>242</v>
      </c>
      <c r="J21" s="1" t="str">
        <f t="shared" si="1"/>
        <v/>
      </c>
      <c r="K21" s="209"/>
      <c r="L21" s="99"/>
      <c r="M21" s="99"/>
      <c r="N21" s="99"/>
      <c r="O21" s="99"/>
      <c r="P21" s="99"/>
      <c r="Q21" s="99"/>
      <c r="R21" s="99"/>
      <c r="S21" s="99"/>
      <c r="T21" s="99"/>
      <c r="U21" s="99" t="s">
        <v>221</v>
      </c>
      <c r="V21" s="99"/>
      <c r="W21" s="99"/>
      <c r="X21" s="99"/>
      <c r="Y21" s="168"/>
      <c r="Z21" s="99"/>
      <c r="AA21" s="99"/>
      <c r="AB21" s="99"/>
      <c r="AC21" s="99"/>
      <c r="AD21" s="99"/>
      <c r="AE21" s="84"/>
      <c r="AF21" s="99"/>
      <c r="AG21" s="84"/>
      <c r="AH21" s="99"/>
      <c r="AI21" s="84"/>
      <c r="AJ21" s="99"/>
      <c r="AK21" s="84"/>
      <c r="AL21" s="99"/>
      <c r="AM21" s="99"/>
      <c r="AN21" s="84"/>
      <c r="AO21" s="138" t="str">
        <f t="shared" si="3"/>
        <v>JA</v>
      </c>
    </row>
    <row r="22" spans="2:41" x14ac:dyDescent="0.45">
      <c r="B22" s="49"/>
      <c r="C22" s="196"/>
      <c r="D22" s="155" t="s">
        <v>64</v>
      </c>
      <c r="E22" s="57" t="s">
        <v>197</v>
      </c>
      <c r="F22" s="58"/>
      <c r="G22" s="49" t="str">
        <f t="shared" si="0"/>
        <v>*</v>
      </c>
      <c r="H22" s="35" t="s">
        <v>221</v>
      </c>
      <c r="I22" s="35" t="s">
        <v>242</v>
      </c>
      <c r="J22" s="1" t="str">
        <f t="shared" si="1"/>
        <v/>
      </c>
      <c r="K22" s="209"/>
      <c r="L22" s="99"/>
      <c r="M22" s="99" t="s">
        <v>221</v>
      </c>
      <c r="N22" s="99"/>
      <c r="O22" s="99"/>
      <c r="P22" s="99"/>
      <c r="Q22" s="99"/>
      <c r="R22" s="99"/>
      <c r="S22" s="99"/>
      <c r="T22" s="99"/>
      <c r="U22" s="99"/>
      <c r="V22" s="99"/>
      <c r="W22" s="99"/>
      <c r="X22" s="99"/>
      <c r="Y22" s="99"/>
      <c r="Z22" s="99"/>
      <c r="AA22" s="99"/>
      <c r="AB22" s="99"/>
      <c r="AC22" s="99"/>
      <c r="AD22" s="99"/>
      <c r="AE22" s="84"/>
      <c r="AF22" s="99"/>
      <c r="AG22" s="84"/>
      <c r="AH22" s="99"/>
      <c r="AI22" s="84"/>
      <c r="AJ22" s="99"/>
      <c r="AK22" s="84"/>
      <c r="AL22" s="99"/>
      <c r="AM22" s="99"/>
      <c r="AN22" s="84"/>
      <c r="AO22" s="138" t="str">
        <f t="shared" si="3"/>
        <v>JA</v>
      </c>
    </row>
    <row r="23" spans="2:41" x14ac:dyDescent="0.45">
      <c r="B23" s="49"/>
      <c r="C23" s="196"/>
      <c r="D23" s="155" t="s">
        <v>64</v>
      </c>
      <c r="E23" s="57" t="s">
        <v>340</v>
      </c>
      <c r="F23" s="58" t="str">
        <f>IF($F$22="NEE","NEE","")</f>
        <v/>
      </c>
      <c r="G23" s="49" t="str">
        <f t="shared" si="0"/>
        <v/>
      </c>
      <c r="H23" s="35" t="s">
        <v>221</v>
      </c>
      <c r="I23" s="35" t="s">
        <v>243</v>
      </c>
      <c r="J23" s="1" t="str">
        <f t="shared" si="1"/>
        <v/>
      </c>
      <c r="K23" s="209"/>
      <c r="L23" s="99"/>
      <c r="M23" s="99" t="s">
        <v>221</v>
      </c>
      <c r="N23" s="99"/>
      <c r="O23" s="99"/>
      <c r="P23" s="99"/>
      <c r="Q23" s="99"/>
      <c r="R23" s="99"/>
      <c r="S23" s="99"/>
      <c r="T23" s="99"/>
      <c r="U23" s="99"/>
      <c r="V23" s="99"/>
      <c r="W23" s="99"/>
      <c r="X23" s="99"/>
      <c r="Y23" s="99"/>
      <c r="Z23" s="99"/>
      <c r="AA23" s="99"/>
      <c r="AB23" s="99"/>
      <c r="AC23" s="99"/>
      <c r="AD23" s="99"/>
      <c r="AE23" s="84"/>
      <c r="AF23" s="99"/>
      <c r="AG23" s="84"/>
      <c r="AH23" s="99"/>
      <c r="AI23" s="84"/>
      <c r="AJ23" s="99"/>
      <c r="AK23" s="84"/>
      <c r="AL23" s="99"/>
      <c r="AM23" s="99"/>
      <c r="AN23" s="84"/>
      <c r="AO23" s="138" t="str">
        <f t="shared" si="3"/>
        <v>JA</v>
      </c>
    </row>
    <row r="24" spans="2:41" x14ac:dyDescent="0.45">
      <c r="B24" s="49"/>
      <c r="C24" s="196"/>
      <c r="D24" s="155" t="s">
        <v>336</v>
      </c>
      <c r="E24" s="57" t="s">
        <v>337</v>
      </c>
      <c r="F24" s="58"/>
      <c r="G24" s="49" t="s">
        <v>339</v>
      </c>
      <c r="H24" s="35" t="s">
        <v>221</v>
      </c>
      <c r="I24" s="35" t="s">
        <v>242</v>
      </c>
      <c r="J24" s="1" t="str">
        <f t="shared" si="1"/>
        <v/>
      </c>
      <c r="K24" s="209"/>
      <c r="L24" s="99"/>
      <c r="M24" s="99" t="s">
        <v>221</v>
      </c>
      <c r="N24" s="99"/>
      <c r="O24" s="99"/>
      <c r="P24" s="99"/>
      <c r="Q24" s="99"/>
      <c r="R24" s="99"/>
      <c r="S24" s="99"/>
      <c r="T24" s="99"/>
      <c r="U24" s="99"/>
      <c r="V24" s="99"/>
      <c r="W24" s="99"/>
      <c r="X24" s="99"/>
      <c r="Y24" s="99"/>
      <c r="Z24" s="99"/>
      <c r="AA24" s="99"/>
      <c r="AB24" s="99"/>
      <c r="AC24" s="99"/>
      <c r="AD24" s="99"/>
      <c r="AE24" s="84"/>
      <c r="AF24" s="99"/>
      <c r="AG24" s="84"/>
      <c r="AH24" s="99"/>
      <c r="AI24" s="84"/>
      <c r="AJ24" s="99"/>
      <c r="AK24" s="84"/>
      <c r="AL24" s="99"/>
      <c r="AM24" s="99"/>
      <c r="AN24" s="84"/>
      <c r="AO24" s="138" t="str">
        <f t="shared" si="3"/>
        <v>JA</v>
      </c>
    </row>
    <row r="25" spans="2:41" x14ac:dyDescent="0.45">
      <c r="B25" s="49"/>
      <c r="C25" s="196"/>
      <c r="D25" s="57" t="s">
        <v>68</v>
      </c>
      <c r="E25" s="57" t="s">
        <v>167</v>
      </c>
      <c r="F25" s="58"/>
      <c r="G25" s="49" t="str">
        <f t="shared" si="0"/>
        <v/>
      </c>
      <c r="H25" s="35" t="s">
        <v>221</v>
      </c>
      <c r="I25" s="35" t="s">
        <v>243</v>
      </c>
      <c r="J25" s="1" t="str">
        <f t="shared" si="1"/>
        <v/>
      </c>
      <c r="K25" s="209"/>
      <c r="L25" s="99"/>
      <c r="M25" s="99"/>
      <c r="N25" s="99"/>
      <c r="O25" s="99"/>
      <c r="P25" s="99"/>
      <c r="Q25" s="99"/>
      <c r="R25" s="99"/>
      <c r="S25" s="99" t="s">
        <v>221</v>
      </c>
      <c r="T25" s="99" t="s">
        <v>221</v>
      </c>
      <c r="U25" s="99"/>
      <c r="V25" s="99"/>
      <c r="W25" s="99"/>
      <c r="X25" s="99"/>
      <c r="Y25" s="99"/>
      <c r="Z25" s="99"/>
      <c r="AA25" s="99"/>
      <c r="AB25" s="99"/>
      <c r="AC25" s="99"/>
      <c r="AD25" s="99"/>
      <c r="AE25" s="84"/>
      <c r="AF25" s="99"/>
      <c r="AG25" s="84"/>
      <c r="AH25" s="99"/>
      <c r="AI25" s="84"/>
      <c r="AJ25" s="99"/>
      <c r="AK25" s="84"/>
      <c r="AL25" s="99"/>
      <c r="AM25" s="99"/>
      <c r="AN25" s="84"/>
      <c r="AO25" s="138" t="str">
        <f t="shared" si="3"/>
        <v>JA</v>
      </c>
    </row>
    <row r="26" spans="2:41" x14ac:dyDescent="0.45">
      <c r="B26" s="49"/>
      <c r="C26" s="196"/>
      <c r="D26" s="57" t="s">
        <v>69</v>
      </c>
      <c r="E26" s="57" t="s">
        <v>168</v>
      </c>
      <c r="F26" s="58"/>
      <c r="G26" s="49" t="str">
        <f t="shared" si="0"/>
        <v/>
      </c>
      <c r="H26" s="35" t="s">
        <v>221</v>
      </c>
      <c r="I26" s="35" t="s">
        <v>243</v>
      </c>
      <c r="J26" s="1" t="str">
        <f t="shared" si="1"/>
        <v/>
      </c>
      <c r="K26" s="209"/>
      <c r="L26" s="99"/>
      <c r="M26" s="99"/>
      <c r="N26" s="99"/>
      <c r="O26" s="99"/>
      <c r="P26" s="99"/>
      <c r="Q26" s="99"/>
      <c r="R26" s="99"/>
      <c r="S26" s="99"/>
      <c r="T26" s="99" t="s">
        <v>221</v>
      </c>
      <c r="U26" s="99"/>
      <c r="V26" s="99"/>
      <c r="W26" s="99"/>
      <c r="X26" s="99"/>
      <c r="Y26" s="99"/>
      <c r="Z26" s="99"/>
      <c r="AA26" s="99"/>
      <c r="AB26" s="99"/>
      <c r="AC26" s="99"/>
      <c r="AD26" s="99"/>
      <c r="AE26" s="84"/>
      <c r="AF26" s="99"/>
      <c r="AG26" s="84"/>
      <c r="AH26" s="99"/>
      <c r="AI26" s="84"/>
      <c r="AJ26" s="99"/>
      <c r="AK26" s="84"/>
      <c r="AL26" s="99"/>
      <c r="AM26" s="99"/>
      <c r="AN26" s="84"/>
      <c r="AO26" s="138" t="str">
        <f t="shared" si="3"/>
        <v>JA</v>
      </c>
    </row>
    <row r="27" spans="2:41" x14ac:dyDescent="0.45">
      <c r="B27" s="49"/>
      <c r="C27" s="196"/>
      <c r="D27" s="57" t="s">
        <v>67</v>
      </c>
      <c r="E27" s="57" t="s">
        <v>169</v>
      </c>
      <c r="F27" s="58"/>
      <c r="G27" s="49" t="str">
        <f t="shared" si="0"/>
        <v>*</v>
      </c>
      <c r="H27" s="35" t="s">
        <v>221</v>
      </c>
      <c r="I27" s="35" t="s">
        <v>242</v>
      </c>
      <c r="J27" s="1" t="str">
        <f t="shared" si="1"/>
        <v/>
      </c>
      <c r="K27" s="209"/>
      <c r="L27" s="99"/>
      <c r="M27" s="99"/>
      <c r="N27" s="99"/>
      <c r="O27" s="99"/>
      <c r="P27" s="99"/>
      <c r="Q27" s="99"/>
      <c r="R27" s="99"/>
      <c r="S27" s="99"/>
      <c r="T27" s="99" t="s">
        <v>221</v>
      </c>
      <c r="U27" s="99"/>
      <c r="V27" s="99"/>
      <c r="W27" s="99"/>
      <c r="X27" s="99"/>
      <c r="Y27" s="99"/>
      <c r="Z27" s="99"/>
      <c r="AA27" s="99"/>
      <c r="AB27" s="99"/>
      <c r="AC27" s="99"/>
      <c r="AD27" s="99"/>
      <c r="AE27" s="84"/>
      <c r="AF27" s="99"/>
      <c r="AG27" s="84"/>
      <c r="AH27" s="99"/>
      <c r="AI27" s="84"/>
      <c r="AJ27" s="99"/>
      <c r="AK27" s="84"/>
      <c r="AL27" s="99"/>
      <c r="AM27" s="99"/>
      <c r="AN27" s="84"/>
      <c r="AO27" s="138" t="str">
        <f t="shared" si="3"/>
        <v>JA</v>
      </c>
    </row>
    <row r="28" spans="2:41" x14ac:dyDescent="0.45">
      <c r="B28" s="49"/>
      <c r="C28" s="196"/>
      <c r="D28" s="57" t="s">
        <v>70</v>
      </c>
      <c r="E28" s="57" t="s">
        <v>198</v>
      </c>
      <c r="F28" s="58"/>
      <c r="G28" s="49" t="str">
        <f t="shared" si="0"/>
        <v/>
      </c>
      <c r="H28" s="35" t="s">
        <v>221</v>
      </c>
      <c r="I28" s="35" t="s">
        <v>243</v>
      </c>
      <c r="J28" s="1" t="str">
        <f t="shared" si="1"/>
        <v/>
      </c>
      <c r="K28" s="209"/>
      <c r="L28" s="99"/>
      <c r="M28" s="99"/>
      <c r="N28" s="99"/>
      <c r="O28" s="99"/>
      <c r="P28" s="99"/>
      <c r="Q28" s="99"/>
      <c r="R28" s="99"/>
      <c r="S28" s="99"/>
      <c r="T28" s="99" t="s">
        <v>221</v>
      </c>
      <c r="U28" s="99"/>
      <c r="V28" s="99"/>
      <c r="W28" s="99"/>
      <c r="X28" s="99"/>
      <c r="Y28" s="99"/>
      <c r="Z28" s="99"/>
      <c r="AA28" s="99"/>
      <c r="AB28" s="99"/>
      <c r="AC28" s="99"/>
      <c r="AD28" s="99"/>
      <c r="AE28" s="84"/>
      <c r="AF28" s="99"/>
      <c r="AG28" s="84"/>
      <c r="AH28" s="99"/>
      <c r="AI28" s="84"/>
      <c r="AJ28" s="99"/>
      <c r="AK28" s="84"/>
      <c r="AL28" s="99"/>
      <c r="AM28" s="99"/>
      <c r="AN28" s="84"/>
      <c r="AO28" s="138" t="str">
        <f t="shared" si="3"/>
        <v>JA</v>
      </c>
    </row>
    <row r="29" spans="2:41" x14ac:dyDescent="0.45">
      <c r="B29" s="49"/>
      <c r="C29" s="196"/>
      <c r="D29" s="155" t="s">
        <v>33</v>
      </c>
      <c r="E29" s="57" t="s">
        <v>171</v>
      </c>
      <c r="F29" s="58"/>
      <c r="G29" s="49" t="str">
        <f t="shared" si="0"/>
        <v/>
      </c>
      <c r="H29" s="35" t="s">
        <v>221</v>
      </c>
      <c r="I29" s="35" t="s">
        <v>243</v>
      </c>
      <c r="J29" s="1" t="str">
        <f t="shared" si="1"/>
        <v/>
      </c>
      <c r="K29" s="209"/>
      <c r="L29" s="99"/>
      <c r="M29" s="99" t="s">
        <v>221</v>
      </c>
      <c r="N29" s="99"/>
      <c r="O29" s="99"/>
      <c r="P29" s="99"/>
      <c r="Q29" s="99"/>
      <c r="R29" s="99"/>
      <c r="S29" s="99"/>
      <c r="T29" s="99"/>
      <c r="U29" s="99"/>
      <c r="V29" s="99"/>
      <c r="W29" s="99"/>
      <c r="X29" s="99"/>
      <c r="Y29" s="99"/>
      <c r="Z29" s="99"/>
      <c r="AA29" s="99"/>
      <c r="AB29" s="99"/>
      <c r="AC29" s="99"/>
      <c r="AD29" s="99"/>
      <c r="AE29" s="84"/>
      <c r="AF29" s="99"/>
      <c r="AG29" s="84"/>
      <c r="AH29" s="99"/>
      <c r="AI29" s="84"/>
      <c r="AJ29" s="99"/>
      <c r="AK29" s="84"/>
      <c r="AL29" s="99"/>
      <c r="AM29" s="99"/>
      <c r="AN29" s="84"/>
      <c r="AO29" s="138" t="str">
        <f t="shared" si="3"/>
        <v>JA</v>
      </c>
    </row>
    <row r="30" spans="2:41" x14ac:dyDescent="0.45">
      <c r="B30" s="49"/>
      <c r="C30" s="196"/>
      <c r="D30" s="155" t="s">
        <v>33</v>
      </c>
      <c r="E30" s="57" t="s">
        <v>170</v>
      </c>
      <c r="F30" s="58"/>
      <c r="G30" s="49" t="str">
        <f t="shared" si="0"/>
        <v>*</v>
      </c>
      <c r="H30" s="35" t="s">
        <v>221</v>
      </c>
      <c r="I30" s="35" t="s">
        <v>242</v>
      </c>
      <c r="J30" s="1" t="str">
        <f t="shared" si="1"/>
        <v/>
      </c>
      <c r="K30" s="209"/>
      <c r="L30" s="99"/>
      <c r="M30" s="99" t="s">
        <v>221</v>
      </c>
      <c r="N30" s="99"/>
      <c r="O30" s="99"/>
      <c r="P30" s="99"/>
      <c r="Q30" s="99"/>
      <c r="R30" s="99"/>
      <c r="S30" s="99"/>
      <c r="T30" s="99"/>
      <c r="U30" s="99"/>
      <c r="V30" s="99"/>
      <c r="W30" s="99"/>
      <c r="X30" s="99"/>
      <c r="Y30" s="99"/>
      <c r="Z30" s="99"/>
      <c r="AA30" s="99"/>
      <c r="AB30" s="99"/>
      <c r="AC30" s="99"/>
      <c r="AD30" s="99"/>
      <c r="AE30" s="84"/>
      <c r="AF30" s="99"/>
      <c r="AG30" s="84"/>
      <c r="AH30" s="99"/>
      <c r="AI30" s="84"/>
      <c r="AJ30" s="99"/>
      <c r="AK30" s="84"/>
      <c r="AL30" s="99"/>
      <c r="AM30" s="99"/>
      <c r="AN30" s="84"/>
      <c r="AO30" s="138" t="str">
        <f t="shared" si="3"/>
        <v>JA</v>
      </c>
    </row>
    <row r="31" spans="2:41" x14ac:dyDescent="0.45">
      <c r="B31" s="49"/>
      <c r="C31" s="196"/>
      <c r="D31" s="155" t="s">
        <v>10</v>
      </c>
      <c r="E31" s="57" t="s">
        <v>172</v>
      </c>
      <c r="F31" s="58"/>
      <c r="G31" s="49" t="s">
        <v>339</v>
      </c>
      <c r="H31" s="35" t="s">
        <v>221</v>
      </c>
      <c r="I31" s="35" t="s">
        <v>242</v>
      </c>
      <c r="J31" s="1" t="str">
        <f t="shared" si="1"/>
        <v/>
      </c>
      <c r="K31" s="209"/>
      <c r="L31" s="99"/>
      <c r="M31" s="99" t="s">
        <v>221</v>
      </c>
      <c r="N31" s="99"/>
      <c r="O31" s="99"/>
      <c r="P31" s="99"/>
      <c r="Q31" s="99"/>
      <c r="R31" s="99"/>
      <c r="S31" s="99"/>
      <c r="T31" s="99"/>
      <c r="U31" s="99"/>
      <c r="V31" s="99"/>
      <c r="W31" s="99"/>
      <c r="X31" s="99"/>
      <c r="Y31" s="99"/>
      <c r="Z31" s="99"/>
      <c r="AA31" s="99"/>
      <c r="AB31" s="99"/>
      <c r="AC31" s="99"/>
      <c r="AD31" s="99"/>
      <c r="AE31" s="84"/>
      <c r="AF31" s="99"/>
      <c r="AG31" s="84"/>
      <c r="AH31" s="99"/>
      <c r="AI31" s="84"/>
      <c r="AJ31" s="99"/>
      <c r="AK31" s="84"/>
      <c r="AL31" s="99"/>
      <c r="AM31" s="99"/>
      <c r="AN31" s="84"/>
      <c r="AO31" s="138" t="str">
        <f t="shared" si="3"/>
        <v>JA</v>
      </c>
    </row>
    <row r="32" spans="2:41" x14ac:dyDescent="0.45">
      <c r="B32" s="49"/>
      <c r="C32" s="196"/>
      <c r="D32" s="57" t="s">
        <v>32</v>
      </c>
      <c r="E32" s="57" t="s">
        <v>108</v>
      </c>
      <c r="F32" s="58"/>
      <c r="G32" s="49" t="str">
        <f t="shared" si="0"/>
        <v/>
      </c>
      <c r="H32" s="35" t="s">
        <v>221</v>
      </c>
      <c r="I32" s="35" t="s">
        <v>243</v>
      </c>
      <c r="J32" s="1" t="str">
        <f t="shared" si="1"/>
        <v/>
      </c>
      <c r="K32" s="209"/>
      <c r="L32" s="99"/>
      <c r="M32" s="99"/>
      <c r="N32" s="99"/>
      <c r="O32" s="99"/>
      <c r="P32" s="99"/>
      <c r="Q32" s="99"/>
      <c r="R32" s="99"/>
      <c r="S32" s="99"/>
      <c r="T32" s="99"/>
      <c r="U32" s="99"/>
      <c r="V32" s="99"/>
      <c r="W32" s="99"/>
      <c r="X32" s="99"/>
      <c r="Y32" s="99"/>
      <c r="Z32" s="99"/>
      <c r="AA32" s="99"/>
      <c r="AB32" s="99"/>
      <c r="AC32" s="99"/>
      <c r="AD32" s="99"/>
      <c r="AE32" s="84"/>
      <c r="AF32" s="99"/>
      <c r="AG32" s="84"/>
      <c r="AH32" s="99"/>
      <c r="AI32" s="84"/>
      <c r="AJ32" s="99"/>
      <c r="AK32" s="84"/>
      <c r="AL32" s="99"/>
      <c r="AM32" s="99"/>
      <c r="AN32" s="84"/>
      <c r="AO32" s="138" t="str">
        <f t="shared" si="3"/>
        <v>NEE</v>
      </c>
    </row>
    <row r="33" spans="2:41" x14ac:dyDescent="0.45">
      <c r="B33" s="49"/>
      <c r="C33" s="196"/>
      <c r="D33" s="57" t="s">
        <v>215</v>
      </c>
      <c r="E33" s="57" t="s">
        <v>216</v>
      </c>
      <c r="F33" s="58"/>
      <c r="G33" s="49" t="str">
        <f t="shared" si="0"/>
        <v/>
      </c>
      <c r="H33" s="35" t="s">
        <v>221</v>
      </c>
      <c r="I33" s="35" t="s">
        <v>243</v>
      </c>
      <c r="J33" s="1" t="str">
        <f t="shared" si="1"/>
        <v/>
      </c>
      <c r="K33" s="209"/>
      <c r="L33" s="99"/>
      <c r="M33" s="99"/>
      <c r="N33" s="99"/>
      <c r="O33" s="99"/>
      <c r="P33" s="99"/>
      <c r="Q33" s="99"/>
      <c r="R33" s="99"/>
      <c r="S33" s="99"/>
      <c r="T33" s="99"/>
      <c r="U33" s="99"/>
      <c r="V33" s="99"/>
      <c r="W33" s="99"/>
      <c r="X33" s="99"/>
      <c r="Y33" s="99"/>
      <c r="Z33" s="99"/>
      <c r="AA33" s="99"/>
      <c r="AB33" s="99"/>
      <c r="AC33" s="99"/>
      <c r="AD33" s="99"/>
      <c r="AE33" s="84"/>
      <c r="AF33" s="99"/>
      <c r="AG33" s="84"/>
      <c r="AH33" s="99"/>
      <c r="AI33" s="84"/>
      <c r="AJ33" s="99"/>
      <c r="AK33" s="84"/>
      <c r="AL33" s="99"/>
      <c r="AM33" s="99"/>
      <c r="AN33" s="84"/>
      <c r="AO33" s="138" t="str">
        <f t="shared" si="3"/>
        <v>NEE</v>
      </c>
    </row>
    <row r="34" spans="2:41" x14ac:dyDescent="0.45">
      <c r="B34" s="49"/>
      <c r="C34" s="196"/>
      <c r="D34" s="57" t="s">
        <v>13</v>
      </c>
      <c r="E34" s="57" t="s">
        <v>217</v>
      </c>
      <c r="F34" s="58"/>
      <c r="G34" s="49" t="str">
        <f t="shared" si="0"/>
        <v>*</v>
      </c>
      <c r="H34" s="35" t="s">
        <v>221</v>
      </c>
      <c r="I34" s="35" t="s">
        <v>242</v>
      </c>
      <c r="J34" s="1" t="str">
        <f t="shared" si="1"/>
        <v/>
      </c>
      <c r="K34" s="209"/>
      <c r="L34" s="99"/>
      <c r="M34" s="99"/>
      <c r="N34" s="99"/>
      <c r="O34" s="99"/>
      <c r="P34" s="99"/>
      <c r="Q34" s="99"/>
      <c r="R34" s="99"/>
      <c r="S34" s="99"/>
      <c r="T34" s="99"/>
      <c r="U34" s="99"/>
      <c r="V34" s="99"/>
      <c r="W34" s="99"/>
      <c r="X34" s="99"/>
      <c r="Y34" s="99"/>
      <c r="Z34" s="99"/>
      <c r="AA34" s="99"/>
      <c r="AB34" s="99"/>
      <c r="AC34" s="99"/>
      <c r="AD34" s="99"/>
      <c r="AE34" s="84"/>
      <c r="AF34" s="99"/>
      <c r="AG34" s="84"/>
      <c r="AH34" s="99"/>
      <c r="AI34" s="84"/>
      <c r="AJ34" s="99"/>
      <c r="AK34" s="84"/>
      <c r="AL34" s="99"/>
      <c r="AM34" s="99"/>
      <c r="AN34" s="84"/>
      <c r="AO34" s="138" t="str">
        <f t="shared" si="3"/>
        <v>NEE</v>
      </c>
    </row>
    <row r="35" spans="2:41" x14ac:dyDescent="0.45">
      <c r="B35" s="49"/>
      <c r="C35" s="196"/>
      <c r="D35" s="57" t="s">
        <v>7</v>
      </c>
      <c r="E35" s="57" t="s">
        <v>173</v>
      </c>
      <c r="F35" s="58"/>
      <c r="G35" s="49" t="str">
        <f t="shared" si="0"/>
        <v/>
      </c>
      <c r="H35" s="35" t="s">
        <v>221</v>
      </c>
      <c r="I35" s="35" t="s">
        <v>243</v>
      </c>
      <c r="J35" s="1" t="str">
        <f t="shared" si="1"/>
        <v/>
      </c>
      <c r="K35" s="209"/>
      <c r="L35" s="99"/>
      <c r="M35" s="99"/>
      <c r="N35" s="99"/>
      <c r="O35" s="99"/>
      <c r="P35" s="99"/>
      <c r="Q35" s="99"/>
      <c r="R35" s="99"/>
      <c r="S35" s="99"/>
      <c r="T35" s="99"/>
      <c r="U35" s="99"/>
      <c r="V35" s="99"/>
      <c r="W35" s="99"/>
      <c r="X35" s="99" t="s">
        <v>221</v>
      </c>
      <c r="Y35" s="99"/>
      <c r="Z35" s="99"/>
      <c r="AA35" s="99"/>
      <c r="AB35" s="99"/>
      <c r="AC35" s="99"/>
      <c r="AD35" s="99"/>
      <c r="AE35" s="84"/>
      <c r="AF35" s="99"/>
      <c r="AG35" s="84"/>
      <c r="AH35" s="99"/>
      <c r="AI35" s="84"/>
      <c r="AJ35" s="99"/>
      <c r="AK35" s="84"/>
      <c r="AL35" s="99"/>
      <c r="AM35" s="99"/>
      <c r="AN35" s="84"/>
      <c r="AO35" s="138" t="str">
        <f t="shared" si="3"/>
        <v>JA</v>
      </c>
    </row>
    <row r="36" spans="2:41" x14ac:dyDescent="0.45">
      <c r="B36" s="49"/>
      <c r="C36" s="196"/>
      <c r="D36" s="57" t="s">
        <v>7</v>
      </c>
      <c r="E36" s="57" t="s">
        <v>174</v>
      </c>
      <c r="F36" s="58" t="str">
        <f>IF(F35="NEE","NEE","")</f>
        <v/>
      </c>
      <c r="G36" s="49" t="str">
        <f t="shared" si="0"/>
        <v/>
      </c>
      <c r="H36" s="35" t="s">
        <v>221</v>
      </c>
      <c r="I36" s="35" t="s">
        <v>243</v>
      </c>
      <c r="J36" s="1" t="str">
        <f t="shared" si="1"/>
        <v/>
      </c>
      <c r="K36" s="209"/>
      <c r="L36" s="99"/>
      <c r="M36" s="99"/>
      <c r="N36" s="99"/>
      <c r="O36" s="99"/>
      <c r="P36" s="99"/>
      <c r="Q36" s="99"/>
      <c r="R36" s="99"/>
      <c r="S36" s="99"/>
      <c r="T36" s="99"/>
      <c r="U36" s="99"/>
      <c r="V36" s="99"/>
      <c r="W36" s="99"/>
      <c r="X36" s="99" t="s">
        <v>221</v>
      </c>
      <c r="Y36" s="99"/>
      <c r="Z36" s="99"/>
      <c r="AA36" s="99"/>
      <c r="AB36" s="99"/>
      <c r="AC36" s="99"/>
      <c r="AD36" s="99"/>
      <c r="AE36" s="84"/>
      <c r="AF36" s="99"/>
      <c r="AG36" s="84"/>
      <c r="AH36" s="99"/>
      <c r="AI36" s="84"/>
      <c r="AJ36" s="99"/>
      <c r="AK36" s="84"/>
      <c r="AL36" s="99"/>
      <c r="AM36" s="99"/>
      <c r="AN36" s="84"/>
      <c r="AO36" s="138" t="str">
        <f t="shared" si="3"/>
        <v>JA</v>
      </c>
    </row>
    <row r="37" spans="2:41" x14ac:dyDescent="0.45">
      <c r="B37" s="49"/>
      <c r="C37" s="196"/>
      <c r="D37" s="57" t="s">
        <v>9</v>
      </c>
      <c r="E37" s="57" t="s">
        <v>190</v>
      </c>
      <c r="F37" s="58"/>
      <c r="G37" s="49" t="str">
        <f t="shared" si="0"/>
        <v>*</v>
      </c>
      <c r="H37" s="35" t="s">
        <v>221</v>
      </c>
      <c r="I37" s="35" t="s">
        <v>242</v>
      </c>
      <c r="J37" s="1" t="str">
        <f t="shared" si="1"/>
        <v/>
      </c>
      <c r="K37" s="209"/>
      <c r="L37" s="99"/>
      <c r="M37" s="99"/>
      <c r="N37" s="99"/>
      <c r="O37" s="99" t="s">
        <v>221</v>
      </c>
      <c r="P37" s="99"/>
      <c r="Q37" s="99"/>
      <c r="R37" s="99"/>
      <c r="S37" s="99"/>
      <c r="T37" s="99"/>
      <c r="U37" s="99"/>
      <c r="V37" s="99"/>
      <c r="W37" s="99"/>
      <c r="X37" s="99"/>
      <c r="Y37" s="99"/>
      <c r="Z37" s="99"/>
      <c r="AA37" s="99"/>
      <c r="AB37" s="99"/>
      <c r="AC37" s="99"/>
      <c r="AD37" s="99"/>
      <c r="AE37" s="84"/>
      <c r="AF37" s="99"/>
      <c r="AG37" s="84"/>
      <c r="AH37" s="99"/>
      <c r="AI37" s="84"/>
      <c r="AJ37" s="99"/>
      <c r="AK37" s="84"/>
      <c r="AL37" s="99"/>
      <c r="AM37" s="99"/>
      <c r="AN37" s="84"/>
      <c r="AO37" s="138" t="str">
        <f t="shared" si="3"/>
        <v>JA</v>
      </c>
    </row>
    <row r="38" spans="2:41" x14ac:dyDescent="0.45">
      <c r="B38" s="49"/>
      <c r="C38" s="196"/>
      <c r="D38" s="57" t="s">
        <v>9</v>
      </c>
      <c r="E38" s="57" t="s">
        <v>191</v>
      </c>
      <c r="F38" s="58"/>
      <c r="G38" s="49" t="str">
        <f t="shared" si="0"/>
        <v>*</v>
      </c>
      <c r="H38" s="35" t="s">
        <v>221</v>
      </c>
      <c r="I38" s="35" t="s">
        <v>242</v>
      </c>
      <c r="J38" s="1" t="str">
        <f t="shared" si="1"/>
        <v/>
      </c>
      <c r="K38" s="209"/>
      <c r="L38" s="99"/>
      <c r="M38" s="99"/>
      <c r="N38" s="99"/>
      <c r="O38" s="99" t="s">
        <v>221</v>
      </c>
      <c r="P38" s="99"/>
      <c r="Q38" s="99"/>
      <c r="R38" s="99"/>
      <c r="S38" s="99"/>
      <c r="T38" s="99"/>
      <c r="U38" s="99"/>
      <c r="V38" s="99"/>
      <c r="W38" s="99"/>
      <c r="X38" s="99"/>
      <c r="Y38" s="99"/>
      <c r="Z38" s="99"/>
      <c r="AA38" s="99"/>
      <c r="AB38" s="99"/>
      <c r="AC38" s="99"/>
      <c r="AD38" s="99"/>
      <c r="AE38" s="84"/>
      <c r="AF38" s="99"/>
      <c r="AG38" s="84"/>
      <c r="AH38" s="99"/>
      <c r="AI38" s="84"/>
      <c r="AJ38" s="99"/>
      <c r="AK38" s="84"/>
      <c r="AL38" s="99"/>
      <c r="AM38" s="99"/>
      <c r="AN38" s="84"/>
      <c r="AO38" s="138" t="str">
        <f t="shared" si="3"/>
        <v>JA</v>
      </c>
    </row>
    <row r="39" spans="2:41" x14ac:dyDescent="0.45">
      <c r="B39" s="49"/>
      <c r="C39" s="196"/>
      <c r="D39" s="57" t="s">
        <v>9</v>
      </c>
      <c r="E39" s="57" t="s">
        <v>192</v>
      </c>
      <c r="F39" s="58" t="str">
        <f>IF(AND(F37="NEE",F38="NEE"),"NEE","")</f>
        <v/>
      </c>
      <c r="G39" s="49" t="str">
        <f t="shared" si="0"/>
        <v>*</v>
      </c>
      <c r="H39" s="35" t="s">
        <v>221</v>
      </c>
      <c r="I39" s="35" t="s">
        <v>242</v>
      </c>
      <c r="J39" s="1" t="str">
        <f t="shared" si="1"/>
        <v/>
      </c>
      <c r="K39" s="209"/>
      <c r="L39" s="99"/>
      <c r="M39" s="99"/>
      <c r="N39" s="99"/>
      <c r="O39" s="99" t="s">
        <v>221</v>
      </c>
      <c r="P39" s="99"/>
      <c r="Q39" s="99"/>
      <c r="R39" s="99"/>
      <c r="S39" s="99"/>
      <c r="T39" s="99"/>
      <c r="U39" s="99"/>
      <c r="V39" s="99"/>
      <c r="W39" s="99"/>
      <c r="X39" s="99"/>
      <c r="Y39" s="99"/>
      <c r="Z39" s="99"/>
      <c r="AA39" s="99"/>
      <c r="AB39" s="99"/>
      <c r="AC39" s="99"/>
      <c r="AD39" s="99"/>
      <c r="AE39" s="84"/>
      <c r="AF39" s="99"/>
      <c r="AG39" s="84"/>
      <c r="AH39" s="99"/>
      <c r="AI39" s="84"/>
      <c r="AJ39" s="99"/>
      <c r="AK39" s="84"/>
      <c r="AL39" s="99"/>
      <c r="AM39" s="99"/>
      <c r="AN39" s="84"/>
      <c r="AO39" s="138" t="str">
        <f t="shared" si="3"/>
        <v>JA</v>
      </c>
    </row>
    <row r="40" spans="2:41" x14ac:dyDescent="0.45">
      <c r="B40" s="49"/>
      <c r="C40" s="196"/>
      <c r="D40" s="57" t="s">
        <v>9</v>
      </c>
      <c r="E40" s="57" t="s">
        <v>109</v>
      </c>
      <c r="F40" s="58"/>
      <c r="G40" s="49" t="str">
        <f t="shared" si="0"/>
        <v>*</v>
      </c>
      <c r="H40" s="35" t="s">
        <v>221</v>
      </c>
      <c r="I40" s="35" t="s">
        <v>242</v>
      </c>
      <c r="J40" s="1" t="str">
        <f t="shared" si="1"/>
        <v/>
      </c>
      <c r="K40" s="209"/>
      <c r="L40" s="99"/>
      <c r="M40" s="99"/>
      <c r="N40" s="99"/>
      <c r="O40" s="99" t="s">
        <v>221</v>
      </c>
      <c r="P40" s="99"/>
      <c r="Q40" s="99"/>
      <c r="R40" s="99"/>
      <c r="S40" s="99"/>
      <c r="T40" s="99"/>
      <c r="U40" s="99"/>
      <c r="V40" s="99"/>
      <c r="W40" s="99"/>
      <c r="X40" s="99"/>
      <c r="Y40" s="98"/>
      <c r="Z40" s="99"/>
      <c r="AA40" s="99"/>
      <c r="AB40" s="99"/>
      <c r="AC40" s="99"/>
      <c r="AD40" s="99"/>
      <c r="AE40" s="84"/>
      <c r="AF40" s="99"/>
      <c r="AG40" s="84"/>
      <c r="AH40" s="99"/>
      <c r="AI40" s="84"/>
      <c r="AJ40" s="99"/>
      <c r="AK40" s="84"/>
      <c r="AL40" s="99"/>
      <c r="AM40" s="99"/>
      <c r="AN40" s="84"/>
      <c r="AO40" s="138" t="str">
        <f t="shared" si="3"/>
        <v>JA</v>
      </c>
    </row>
    <row r="41" spans="2:41" ht="15" customHeight="1" x14ac:dyDescent="0.45">
      <c r="B41" s="49"/>
      <c r="C41" s="196"/>
      <c r="D41" s="155" t="s">
        <v>59</v>
      </c>
      <c r="E41" s="57" t="s">
        <v>218</v>
      </c>
      <c r="F41" s="58"/>
      <c r="G41" s="49" t="str">
        <f t="shared" si="0"/>
        <v>*</v>
      </c>
      <c r="H41" s="35" t="s">
        <v>221</v>
      </c>
      <c r="I41" s="35" t="s">
        <v>242</v>
      </c>
      <c r="J41" s="1" t="str">
        <f t="shared" si="1"/>
        <v/>
      </c>
      <c r="K41" s="209"/>
      <c r="L41" s="99"/>
      <c r="M41" s="99"/>
      <c r="N41" s="99"/>
      <c r="O41" s="99" t="s">
        <v>221</v>
      </c>
      <c r="P41" s="99" t="s">
        <v>221</v>
      </c>
      <c r="Q41" s="99"/>
      <c r="R41" s="99"/>
      <c r="S41" s="99"/>
      <c r="T41" s="99"/>
      <c r="U41" s="99"/>
      <c r="V41" s="99"/>
      <c r="W41" s="99"/>
      <c r="X41" s="99"/>
      <c r="Y41" s="99"/>
      <c r="Z41" s="99"/>
      <c r="AA41" s="99"/>
      <c r="AB41" s="99"/>
      <c r="AC41" s="99"/>
      <c r="AD41" s="99"/>
      <c r="AE41" s="84"/>
      <c r="AF41" s="99"/>
      <c r="AG41" s="84"/>
      <c r="AH41" s="99"/>
      <c r="AI41" s="84"/>
      <c r="AJ41" s="99"/>
      <c r="AK41" s="84"/>
      <c r="AL41" s="99"/>
      <c r="AM41" s="99"/>
      <c r="AN41" s="84"/>
      <c r="AO41" s="138" t="str">
        <f t="shared" si="3"/>
        <v>JA</v>
      </c>
    </row>
    <row r="42" spans="2:41" ht="15" customHeight="1" x14ac:dyDescent="0.45">
      <c r="B42" s="49"/>
      <c r="C42" s="196"/>
      <c r="D42" s="155" t="s">
        <v>59</v>
      </c>
      <c r="E42" s="57" t="s">
        <v>110</v>
      </c>
      <c r="F42" s="58"/>
      <c r="G42" s="49" t="str">
        <f t="shared" si="0"/>
        <v>*</v>
      </c>
      <c r="H42" s="35" t="s">
        <v>221</v>
      </c>
      <c r="I42" s="35" t="s">
        <v>242</v>
      </c>
      <c r="J42" s="1" t="str">
        <f t="shared" si="1"/>
        <v/>
      </c>
      <c r="K42" s="209"/>
      <c r="L42" s="99"/>
      <c r="M42" s="99"/>
      <c r="N42" s="99"/>
      <c r="O42" s="99" t="s">
        <v>221</v>
      </c>
      <c r="P42" s="99" t="s">
        <v>221</v>
      </c>
      <c r="Q42" s="99"/>
      <c r="R42" s="99"/>
      <c r="S42" s="99"/>
      <c r="T42" s="99"/>
      <c r="U42" s="99"/>
      <c r="V42" s="99"/>
      <c r="W42" s="99"/>
      <c r="X42" s="99"/>
      <c r="Y42" s="99"/>
      <c r="Z42" s="99"/>
      <c r="AA42" s="99"/>
      <c r="AB42" s="99"/>
      <c r="AC42" s="99"/>
      <c r="AD42" s="99"/>
      <c r="AE42" s="84"/>
      <c r="AF42" s="99"/>
      <c r="AG42" s="84"/>
      <c r="AH42" s="99"/>
      <c r="AI42" s="84"/>
      <c r="AJ42" s="99"/>
      <c r="AK42" s="84"/>
      <c r="AL42" s="99"/>
      <c r="AM42" s="99"/>
      <c r="AN42" s="84"/>
      <c r="AO42" s="138" t="str">
        <f t="shared" si="3"/>
        <v>JA</v>
      </c>
    </row>
    <row r="43" spans="2:41" x14ac:dyDescent="0.45">
      <c r="B43" s="49"/>
      <c r="C43" s="213" t="s">
        <v>54</v>
      </c>
      <c r="D43" s="57" t="s">
        <v>8</v>
      </c>
      <c r="E43" s="57" t="s">
        <v>283</v>
      </c>
      <c r="F43" s="58" t="str">
        <f>IF(F10="NEE","NEE","")</f>
        <v/>
      </c>
      <c r="G43" s="49" t="str">
        <f t="shared" si="0"/>
        <v>*</v>
      </c>
      <c r="H43" s="35" t="s">
        <v>221</v>
      </c>
      <c r="I43" s="35" t="s">
        <v>242</v>
      </c>
      <c r="J43" s="1" t="str">
        <f t="shared" si="1"/>
        <v/>
      </c>
      <c r="K43" s="209"/>
      <c r="L43" s="99"/>
      <c r="M43" s="99"/>
      <c r="N43" s="99"/>
      <c r="O43" s="99"/>
      <c r="P43" s="99"/>
      <c r="Q43" s="99"/>
      <c r="R43" s="99"/>
      <c r="S43" s="99"/>
      <c r="T43" s="99"/>
      <c r="U43" s="99"/>
      <c r="V43" s="99"/>
      <c r="W43" s="99"/>
      <c r="X43" s="99"/>
      <c r="Y43" s="99"/>
      <c r="Z43" s="99"/>
      <c r="AA43" s="99"/>
      <c r="AB43" s="99"/>
      <c r="AC43" s="99"/>
      <c r="AD43" s="99"/>
      <c r="AE43" s="84"/>
      <c r="AF43" s="99"/>
      <c r="AG43" s="84"/>
      <c r="AH43" s="99"/>
      <c r="AI43" s="84"/>
      <c r="AJ43" s="99"/>
      <c r="AK43" s="84"/>
      <c r="AL43" s="99"/>
      <c r="AM43" s="99"/>
      <c r="AN43" s="84"/>
      <c r="AO43" s="138" t="str">
        <f t="shared" si="3"/>
        <v>NEE</v>
      </c>
    </row>
    <row r="44" spans="2:41" x14ac:dyDescent="0.45">
      <c r="B44" s="49"/>
      <c r="C44" s="214"/>
      <c r="D44" s="57" t="s">
        <v>8</v>
      </c>
      <c r="E44" s="57" t="s">
        <v>183</v>
      </c>
      <c r="F44" s="58" t="str">
        <f>IF(F14="NEE","NEE","")</f>
        <v/>
      </c>
      <c r="G44" s="49" t="str">
        <f t="shared" si="0"/>
        <v/>
      </c>
      <c r="H44" s="35" t="s">
        <v>221</v>
      </c>
      <c r="I44" s="35" t="s">
        <v>243</v>
      </c>
      <c r="J44" s="1" t="str">
        <f t="shared" si="1"/>
        <v/>
      </c>
      <c r="K44" s="209"/>
      <c r="L44" s="99"/>
      <c r="M44" s="99"/>
      <c r="N44" s="99"/>
      <c r="O44" s="99"/>
      <c r="P44" s="99"/>
      <c r="Q44" s="99"/>
      <c r="R44" s="99"/>
      <c r="S44" s="99"/>
      <c r="T44" s="99"/>
      <c r="U44" s="99"/>
      <c r="V44" s="99"/>
      <c r="W44" s="99"/>
      <c r="X44" s="99"/>
      <c r="Y44" s="99"/>
      <c r="Z44" s="99"/>
      <c r="AA44" s="99"/>
      <c r="AB44" s="99"/>
      <c r="AC44" s="99"/>
      <c r="AD44" s="99"/>
      <c r="AE44" s="84"/>
      <c r="AF44" s="99"/>
      <c r="AG44" s="84"/>
      <c r="AH44" s="99"/>
      <c r="AI44" s="84"/>
      <c r="AJ44" s="99"/>
      <c r="AK44" s="84"/>
      <c r="AL44" s="99"/>
      <c r="AM44" s="99"/>
      <c r="AN44" s="84"/>
      <c r="AO44" s="138" t="str">
        <f t="shared" si="3"/>
        <v>NEE</v>
      </c>
    </row>
    <row r="45" spans="2:41" ht="27" x14ac:dyDescent="0.45">
      <c r="B45" s="49"/>
      <c r="C45" s="214"/>
      <c r="D45" s="57" t="s">
        <v>65</v>
      </c>
      <c r="E45" s="57" t="s">
        <v>184</v>
      </c>
      <c r="F45" s="58" t="str">
        <f>IF(AND(F10="NEE",F14="NEE"),"NEE","")</f>
        <v/>
      </c>
      <c r="G45" s="49" t="str">
        <f t="shared" si="0"/>
        <v/>
      </c>
      <c r="H45" s="35" t="s">
        <v>221</v>
      </c>
      <c r="I45" s="35" t="s">
        <v>243</v>
      </c>
      <c r="J45" s="1" t="str">
        <f t="shared" si="1"/>
        <v/>
      </c>
      <c r="K45" s="209"/>
      <c r="L45" s="99"/>
      <c r="M45" s="99"/>
      <c r="N45" s="99"/>
      <c r="O45" s="99"/>
      <c r="P45" s="99"/>
      <c r="Q45" s="99"/>
      <c r="R45" s="99"/>
      <c r="S45" s="99"/>
      <c r="T45" s="99"/>
      <c r="U45" s="99"/>
      <c r="V45" s="99"/>
      <c r="W45" s="99"/>
      <c r="X45" s="99"/>
      <c r="Y45" s="99"/>
      <c r="Z45" s="99"/>
      <c r="AA45" s="99"/>
      <c r="AB45" s="99"/>
      <c r="AC45" s="99"/>
      <c r="AD45" s="99"/>
      <c r="AE45" s="84"/>
      <c r="AF45" s="99"/>
      <c r="AG45" s="84"/>
      <c r="AH45" s="99"/>
      <c r="AI45" s="84"/>
      <c r="AJ45" s="99"/>
      <c r="AK45" s="84"/>
      <c r="AL45" s="99"/>
      <c r="AM45" s="99"/>
      <c r="AN45" s="84"/>
      <c r="AO45" s="138"/>
    </row>
    <row r="46" spans="2:41" ht="30" customHeight="1" x14ac:dyDescent="0.45">
      <c r="B46" s="49"/>
      <c r="C46" s="215"/>
      <c r="D46" s="57" t="s">
        <v>348</v>
      </c>
      <c r="E46" s="57" t="s">
        <v>349</v>
      </c>
      <c r="F46" s="58"/>
      <c r="G46" s="49" t="str">
        <f t="shared" si="0"/>
        <v/>
      </c>
      <c r="H46" s="35" t="s">
        <v>221</v>
      </c>
      <c r="I46" s="35" t="s">
        <v>243</v>
      </c>
      <c r="J46" s="1" t="str">
        <f t="shared" si="1"/>
        <v/>
      </c>
      <c r="K46" s="209"/>
      <c r="L46" s="99"/>
      <c r="M46" s="99"/>
      <c r="N46" s="99"/>
      <c r="O46" s="99" t="s">
        <v>221</v>
      </c>
      <c r="P46" s="99" t="s">
        <v>221</v>
      </c>
      <c r="Q46" s="99"/>
      <c r="R46" s="99"/>
      <c r="S46" s="99"/>
      <c r="T46" s="99"/>
      <c r="U46" s="99"/>
      <c r="V46" s="99"/>
      <c r="W46" s="99"/>
      <c r="X46" s="99"/>
      <c r="Y46" s="99"/>
      <c r="Z46" s="99"/>
      <c r="AA46" s="99"/>
      <c r="AB46" s="99"/>
      <c r="AC46" s="99"/>
      <c r="AD46" s="99"/>
      <c r="AE46" s="84"/>
      <c r="AF46" s="99"/>
      <c r="AG46" s="84"/>
      <c r="AH46" s="99"/>
      <c r="AI46" s="84"/>
      <c r="AJ46" s="99"/>
      <c r="AK46" s="84"/>
      <c r="AL46" s="99"/>
      <c r="AM46" s="99"/>
      <c r="AN46" s="84"/>
      <c r="AO46" s="138" t="str">
        <f t="shared" si="3"/>
        <v>JA</v>
      </c>
    </row>
    <row r="47" spans="2:41" x14ac:dyDescent="0.45">
      <c r="B47" s="49"/>
      <c r="C47" s="213" t="s">
        <v>16</v>
      </c>
      <c r="D47" s="57" t="s">
        <v>31</v>
      </c>
      <c r="E47" s="57" t="s">
        <v>105</v>
      </c>
      <c r="F47" s="58"/>
      <c r="G47" s="49" t="str">
        <f t="shared" si="0"/>
        <v/>
      </c>
      <c r="H47" s="35" t="s">
        <v>222</v>
      </c>
      <c r="I47" s="35" t="s">
        <v>244</v>
      </c>
      <c r="J47" s="1" t="str">
        <f t="shared" si="1"/>
        <v/>
      </c>
      <c r="K47" s="209"/>
      <c r="L47" s="132" t="s">
        <v>244</v>
      </c>
      <c r="M47" s="132" t="s">
        <v>244</v>
      </c>
      <c r="N47" s="132" t="s">
        <v>244</v>
      </c>
      <c r="O47" s="132" t="s">
        <v>244</v>
      </c>
      <c r="P47" s="132" t="s">
        <v>244</v>
      </c>
      <c r="Q47" s="132" t="s">
        <v>244</v>
      </c>
      <c r="R47" s="132" t="s">
        <v>244</v>
      </c>
      <c r="S47" s="132" t="s">
        <v>244</v>
      </c>
      <c r="T47" s="132" t="s">
        <v>244</v>
      </c>
      <c r="U47" s="132" t="s">
        <v>244</v>
      </c>
      <c r="V47" s="132" t="s">
        <v>244</v>
      </c>
      <c r="W47" s="132" t="s">
        <v>244</v>
      </c>
      <c r="X47" s="132" t="s">
        <v>244</v>
      </c>
      <c r="Y47" s="132" t="s">
        <v>244</v>
      </c>
      <c r="Z47" s="132"/>
      <c r="AA47" s="132"/>
      <c r="AB47" s="132"/>
      <c r="AC47" s="132"/>
      <c r="AD47" s="132"/>
      <c r="AE47" s="162"/>
      <c r="AF47" s="132"/>
      <c r="AG47" s="162"/>
      <c r="AH47" s="132"/>
      <c r="AI47" s="162"/>
      <c r="AJ47" s="132"/>
      <c r="AK47" s="162"/>
      <c r="AL47" s="132"/>
      <c r="AM47" s="132"/>
      <c r="AN47" s="162"/>
      <c r="AO47" s="137" t="s">
        <v>244</v>
      </c>
    </row>
    <row r="48" spans="2:41" x14ac:dyDescent="0.45">
      <c r="B48" s="49"/>
      <c r="C48" s="214"/>
      <c r="D48" s="57" t="s">
        <v>36</v>
      </c>
      <c r="E48" s="57" t="s">
        <v>213</v>
      </c>
      <c r="F48" s="58"/>
      <c r="G48" s="49" t="str">
        <f t="shared" si="0"/>
        <v/>
      </c>
      <c r="H48" s="35" t="s">
        <v>222</v>
      </c>
      <c r="I48" s="35" t="s">
        <v>244</v>
      </c>
      <c r="J48" s="1" t="str">
        <f t="shared" si="1"/>
        <v/>
      </c>
      <c r="K48" s="209"/>
      <c r="L48" s="132" t="s">
        <v>244</v>
      </c>
      <c r="M48" s="132" t="s">
        <v>244</v>
      </c>
      <c r="N48" s="132" t="s">
        <v>244</v>
      </c>
      <c r="O48" s="132" t="s">
        <v>244</v>
      </c>
      <c r="P48" s="132" t="s">
        <v>244</v>
      </c>
      <c r="Q48" s="132" t="s">
        <v>244</v>
      </c>
      <c r="R48" s="132" t="s">
        <v>244</v>
      </c>
      <c r="S48" s="132" t="s">
        <v>244</v>
      </c>
      <c r="T48" s="132" t="s">
        <v>244</v>
      </c>
      <c r="U48" s="132" t="s">
        <v>244</v>
      </c>
      <c r="V48" s="132" t="s">
        <v>244</v>
      </c>
      <c r="W48" s="132" t="s">
        <v>244</v>
      </c>
      <c r="X48" s="132" t="s">
        <v>244</v>
      </c>
      <c r="Y48" s="132" t="s">
        <v>244</v>
      </c>
      <c r="Z48" s="132"/>
      <c r="AA48" s="132"/>
      <c r="AB48" s="132"/>
      <c r="AC48" s="132"/>
      <c r="AD48" s="132"/>
      <c r="AE48" s="162"/>
      <c r="AF48" s="132"/>
      <c r="AG48" s="162"/>
      <c r="AH48" s="132"/>
      <c r="AI48" s="162"/>
      <c r="AJ48" s="132"/>
      <c r="AK48" s="162"/>
      <c r="AL48" s="132"/>
      <c r="AM48" s="132"/>
      <c r="AN48" s="162"/>
      <c r="AO48" s="137" t="s">
        <v>244</v>
      </c>
    </row>
    <row r="49" spans="2:41" x14ac:dyDescent="0.45">
      <c r="B49" s="49"/>
      <c r="C49" s="214"/>
      <c r="D49" s="57" t="s">
        <v>77</v>
      </c>
      <c r="E49" s="57" t="s">
        <v>175</v>
      </c>
      <c r="F49" s="58"/>
      <c r="G49" s="49" t="str">
        <f t="shared" si="0"/>
        <v/>
      </c>
      <c r="H49" s="35" t="s">
        <v>222</v>
      </c>
      <c r="I49" s="35" t="s">
        <v>244</v>
      </c>
      <c r="J49" s="1" t="str">
        <f t="shared" si="1"/>
        <v/>
      </c>
      <c r="K49" s="209"/>
      <c r="L49" s="132" t="s">
        <v>244</v>
      </c>
      <c r="M49" s="132" t="s">
        <v>244</v>
      </c>
      <c r="N49" s="132" t="s">
        <v>244</v>
      </c>
      <c r="O49" s="132" t="s">
        <v>244</v>
      </c>
      <c r="P49" s="132" t="s">
        <v>244</v>
      </c>
      <c r="Q49" s="132" t="s">
        <v>244</v>
      </c>
      <c r="R49" s="132" t="s">
        <v>244</v>
      </c>
      <c r="S49" s="132" t="s">
        <v>244</v>
      </c>
      <c r="T49" s="132" t="s">
        <v>244</v>
      </c>
      <c r="U49" s="132" t="s">
        <v>244</v>
      </c>
      <c r="V49" s="132" t="s">
        <v>244</v>
      </c>
      <c r="W49" s="132" t="s">
        <v>244</v>
      </c>
      <c r="X49" s="132" t="s">
        <v>244</v>
      </c>
      <c r="Y49" s="132" t="s">
        <v>244</v>
      </c>
      <c r="Z49" s="132"/>
      <c r="AA49" s="132"/>
      <c r="AB49" s="132"/>
      <c r="AC49" s="132"/>
      <c r="AD49" s="132"/>
      <c r="AE49" s="162"/>
      <c r="AF49" s="132"/>
      <c r="AG49" s="162"/>
      <c r="AH49" s="132"/>
      <c r="AI49" s="162"/>
      <c r="AJ49" s="132"/>
      <c r="AK49" s="162"/>
      <c r="AL49" s="132"/>
      <c r="AM49" s="132"/>
      <c r="AN49" s="162"/>
      <c r="AO49" s="137" t="s">
        <v>244</v>
      </c>
    </row>
    <row r="50" spans="2:41" ht="30" customHeight="1" x14ac:dyDescent="0.45">
      <c r="B50" s="49"/>
      <c r="C50" s="214"/>
      <c r="D50" s="155" t="s">
        <v>35</v>
      </c>
      <c r="E50" s="57" t="s">
        <v>199</v>
      </c>
      <c r="F50" s="58"/>
      <c r="G50" s="49" t="str">
        <f t="shared" si="0"/>
        <v/>
      </c>
      <c r="H50" s="35" t="s">
        <v>221</v>
      </c>
      <c r="I50" s="35" t="s">
        <v>243</v>
      </c>
      <c r="J50" s="1" t="str">
        <f t="shared" si="1"/>
        <v/>
      </c>
      <c r="K50" s="209"/>
      <c r="L50" s="99"/>
      <c r="M50" s="99"/>
      <c r="N50" s="99"/>
      <c r="O50" s="99"/>
      <c r="P50" s="99"/>
      <c r="Q50" s="99"/>
      <c r="R50" s="99"/>
      <c r="S50" s="99"/>
      <c r="T50" s="99"/>
      <c r="U50" s="99"/>
      <c r="V50" s="99" t="s">
        <v>221</v>
      </c>
      <c r="W50" s="99"/>
      <c r="X50" s="99"/>
      <c r="Y50" s="99"/>
      <c r="Z50" s="99"/>
      <c r="AA50" s="99"/>
      <c r="AB50" s="99"/>
      <c r="AC50" s="99"/>
      <c r="AD50" s="99"/>
      <c r="AE50" s="84"/>
      <c r="AF50" s="99"/>
      <c r="AG50" s="84"/>
      <c r="AH50" s="99"/>
      <c r="AI50" s="84"/>
      <c r="AJ50" s="99"/>
      <c r="AK50" s="84"/>
      <c r="AL50" s="99"/>
      <c r="AM50" s="99"/>
      <c r="AN50" s="84"/>
      <c r="AO50" s="138" t="str">
        <f t="shared" ref="AO50:AO60" si="4">IF(COUNTIF(L50:AN50,"ja")=0,"NEE","JA")</f>
        <v>JA</v>
      </c>
    </row>
    <row r="51" spans="2:41" x14ac:dyDescent="0.45">
      <c r="B51" s="49"/>
      <c r="C51" s="214"/>
      <c r="D51" s="57" t="s">
        <v>176</v>
      </c>
      <c r="E51" s="57" t="s">
        <v>200</v>
      </c>
      <c r="F51" s="58"/>
      <c r="G51" s="49" t="str">
        <f t="shared" si="0"/>
        <v/>
      </c>
      <c r="H51" s="35" t="s">
        <v>221</v>
      </c>
      <c r="I51" s="35" t="s">
        <v>243</v>
      </c>
      <c r="J51" s="1" t="str">
        <f t="shared" si="1"/>
        <v/>
      </c>
      <c r="K51" s="209"/>
      <c r="L51" s="99"/>
      <c r="M51" s="99"/>
      <c r="N51" s="99" t="s">
        <v>221</v>
      </c>
      <c r="O51" s="99"/>
      <c r="P51" s="99"/>
      <c r="Q51" s="99"/>
      <c r="R51" s="99"/>
      <c r="S51" s="99"/>
      <c r="T51" s="99"/>
      <c r="U51" s="99"/>
      <c r="V51" s="99"/>
      <c r="W51" s="99"/>
      <c r="X51" s="99"/>
      <c r="Y51" s="99"/>
      <c r="Z51" s="99"/>
      <c r="AA51" s="99"/>
      <c r="AB51" s="99"/>
      <c r="AC51" s="99"/>
      <c r="AD51" s="99"/>
      <c r="AE51" s="84"/>
      <c r="AF51" s="99"/>
      <c r="AG51" s="84"/>
      <c r="AH51" s="99"/>
      <c r="AI51" s="84"/>
      <c r="AJ51" s="99"/>
      <c r="AK51" s="84"/>
      <c r="AL51" s="99"/>
      <c r="AM51" s="99"/>
      <c r="AN51" s="84"/>
      <c r="AO51" s="138" t="str">
        <f t="shared" si="4"/>
        <v>JA</v>
      </c>
    </row>
    <row r="52" spans="2:41" x14ac:dyDescent="0.45">
      <c r="B52" s="49"/>
      <c r="C52" s="214"/>
      <c r="D52" s="155" t="s">
        <v>71</v>
      </c>
      <c r="E52" s="57" t="s">
        <v>201</v>
      </c>
      <c r="F52" s="58"/>
      <c r="G52" s="49" t="str">
        <f t="shared" si="0"/>
        <v/>
      </c>
      <c r="H52" s="35" t="s">
        <v>221</v>
      </c>
      <c r="I52" s="35" t="s">
        <v>243</v>
      </c>
      <c r="J52" s="1" t="str">
        <f t="shared" si="1"/>
        <v/>
      </c>
      <c r="K52" s="209"/>
      <c r="L52" s="99"/>
      <c r="M52" s="99"/>
      <c r="N52" s="99" t="s">
        <v>221</v>
      </c>
      <c r="O52" s="99"/>
      <c r="P52" s="99"/>
      <c r="Q52" s="99"/>
      <c r="R52" s="99"/>
      <c r="S52" s="99"/>
      <c r="T52" s="99"/>
      <c r="U52" s="99"/>
      <c r="V52" s="99"/>
      <c r="W52" s="99"/>
      <c r="X52" s="99"/>
      <c r="Y52" s="99"/>
      <c r="Z52" s="99"/>
      <c r="AA52" s="99"/>
      <c r="AB52" s="99"/>
      <c r="AC52" s="99"/>
      <c r="AD52" s="99"/>
      <c r="AE52" s="84"/>
      <c r="AF52" s="99"/>
      <c r="AG52" s="84"/>
      <c r="AH52" s="99"/>
      <c r="AI52" s="84"/>
      <c r="AJ52" s="99"/>
      <c r="AK52" s="84"/>
      <c r="AL52" s="99"/>
      <c r="AM52" s="99"/>
      <c r="AN52" s="84"/>
      <c r="AO52" s="138" t="str">
        <f t="shared" si="4"/>
        <v>JA</v>
      </c>
    </row>
    <row r="53" spans="2:41" x14ac:dyDescent="0.45">
      <c r="B53" s="49"/>
      <c r="C53" s="214"/>
      <c r="D53" s="57" t="s">
        <v>37</v>
      </c>
      <c r="E53" s="57" t="s">
        <v>284</v>
      </c>
      <c r="F53" s="58"/>
      <c r="G53" s="49" t="str">
        <f t="shared" si="0"/>
        <v>*</v>
      </c>
      <c r="H53" s="35" t="s">
        <v>221</v>
      </c>
      <c r="I53" s="35" t="s">
        <v>242</v>
      </c>
      <c r="J53" s="1" t="str">
        <f t="shared" si="1"/>
        <v/>
      </c>
      <c r="K53" s="209"/>
      <c r="L53" s="99"/>
      <c r="M53" s="99"/>
      <c r="N53" s="99" t="s">
        <v>221</v>
      </c>
      <c r="O53" s="99"/>
      <c r="P53" s="99"/>
      <c r="Q53" s="99"/>
      <c r="R53" s="99"/>
      <c r="S53" s="99"/>
      <c r="T53" s="99"/>
      <c r="U53" s="99"/>
      <c r="V53" s="99"/>
      <c r="W53" s="99"/>
      <c r="X53" s="99"/>
      <c r="Y53" s="99"/>
      <c r="Z53" s="99"/>
      <c r="AA53" s="99"/>
      <c r="AB53" s="99"/>
      <c r="AC53" s="99"/>
      <c r="AD53" s="99"/>
      <c r="AE53" s="84"/>
      <c r="AF53" s="99"/>
      <c r="AG53" s="84"/>
      <c r="AH53" s="99"/>
      <c r="AI53" s="84"/>
      <c r="AJ53" s="99"/>
      <c r="AK53" s="84"/>
      <c r="AL53" s="99"/>
      <c r="AM53" s="99"/>
      <c r="AN53" s="84"/>
      <c r="AO53" s="138" t="str">
        <f t="shared" si="4"/>
        <v>JA</v>
      </c>
    </row>
    <row r="54" spans="2:41" x14ac:dyDescent="0.45">
      <c r="B54" s="49"/>
      <c r="C54" s="214"/>
      <c r="D54" s="57" t="s">
        <v>11</v>
      </c>
      <c r="E54" s="57" t="s">
        <v>193</v>
      </c>
      <c r="F54" s="58"/>
      <c r="G54" s="49" t="str">
        <f t="shared" si="0"/>
        <v>*</v>
      </c>
      <c r="H54" s="35" t="s">
        <v>221</v>
      </c>
      <c r="I54" s="35" t="s">
        <v>242</v>
      </c>
      <c r="J54" s="1" t="str">
        <f t="shared" si="1"/>
        <v/>
      </c>
      <c r="K54" s="209"/>
      <c r="L54" s="99"/>
      <c r="M54" s="99"/>
      <c r="N54" s="99" t="s">
        <v>221</v>
      </c>
      <c r="O54" s="99"/>
      <c r="P54" s="99"/>
      <c r="Q54" s="99"/>
      <c r="R54" s="99" t="s">
        <v>221</v>
      </c>
      <c r="S54" s="99" t="s">
        <v>221</v>
      </c>
      <c r="T54" s="99"/>
      <c r="U54" s="99"/>
      <c r="V54" s="99"/>
      <c r="W54" s="99"/>
      <c r="X54" s="99"/>
      <c r="Y54" s="99"/>
      <c r="Z54" s="99"/>
      <c r="AA54" s="99"/>
      <c r="AB54" s="99"/>
      <c r="AC54" s="99"/>
      <c r="AD54" s="99"/>
      <c r="AE54" s="84"/>
      <c r="AF54" s="99"/>
      <c r="AG54" s="84"/>
      <c r="AH54" s="99"/>
      <c r="AI54" s="84"/>
      <c r="AJ54" s="99"/>
      <c r="AK54" s="84"/>
      <c r="AL54" s="99"/>
      <c r="AM54" s="99"/>
      <c r="AN54" s="84"/>
      <c r="AO54" s="138" t="str">
        <f t="shared" si="4"/>
        <v>JA</v>
      </c>
    </row>
    <row r="55" spans="2:41" x14ac:dyDescent="0.45">
      <c r="B55" s="49"/>
      <c r="C55" s="214"/>
      <c r="D55" s="57" t="s">
        <v>12</v>
      </c>
      <c r="E55" s="57" t="s">
        <v>208</v>
      </c>
      <c r="F55" s="58"/>
      <c r="G55" s="49" t="str">
        <f t="shared" si="0"/>
        <v/>
      </c>
      <c r="H55" s="35" t="s">
        <v>221</v>
      </c>
      <c r="I55" s="35" t="s">
        <v>243</v>
      </c>
      <c r="J55" s="1" t="str">
        <f t="shared" si="1"/>
        <v/>
      </c>
      <c r="K55" s="209"/>
      <c r="L55" s="99"/>
      <c r="M55" s="99"/>
      <c r="N55" s="99"/>
      <c r="O55" s="99"/>
      <c r="P55" s="99"/>
      <c r="Q55" s="99"/>
      <c r="R55" s="99" t="s">
        <v>221</v>
      </c>
      <c r="S55" s="99" t="s">
        <v>221</v>
      </c>
      <c r="T55" s="99"/>
      <c r="U55" s="99"/>
      <c r="V55" s="99" t="s">
        <v>221</v>
      </c>
      <c r="W55" s="99"/>
      <c r="X55" s="99"/>
      <c r="Y55" s="99"/>
      <c r="Z55" s="99"/>
      <c r="AA55" s="99"/>
      <c r="AB55" s="99"/>
      <c r="AC55" s="99"/>
      <c r="AD55" s="99"/>
      <c r="AE55" s="84"/>
      <c r="AF55" s="99"/>
      <c r="AG55" s="84"/>
      <c r="AH55" s="99"/>
      <c r="AI55" s="84"/>
      <c r="AJ55" s="99"/>
      <c r="AK55" s="84"/>
      <c r="AL55" s="99"/>
      <c r="AM55" s="99"/>
      <c r="AN55" s="84"/>
      <c r="AO55" s="138" t="str">
        <f t="shared" si="4"/>
        <v>JA</v>
      </c>
    </row>
    <row r="56" spans="2:41" x14ac:dyDescent="0.45">
      <c r="B56" s="49"/>
      <c r="C56" s="215"/>
      <c r="D56" s="57" t="s">
        <v>40</v>
      </c>
      <c r="E56" s="57" t="s">
        <v>185</v>
      </c>
      <c r="F56" s="58"/>
      <c r="G56" s="49" t="str">
        <f t="shared" si="0"/>
        <v/>
      </c>
      <c r="H56" s="35" t="s">
        <v>221</v>
      </c>
      <c r="I56" s="35" t="s">
        <v>243</v>
      </c>
      <c r="J56" s="1" t="str">
        <f t="shared" si="1"/>
        <v/>
      </c>
      <c r="K56" s="209"/>
      <c r="L56" s="99"/>
      <c r="M56" s="99"/>
      <c r="N56" s="99"/>
      <c r="O56" s="99"/>
      <c r="P56" s="99"/>
      <c r="Q56" s="99"/>
      <c r="R56" s="99"/>
      <c r="S56" s="99"/>
      <c r="T56" s="99"/>
      <c r="U56" s="99"/>
      <c r="V56" s="99" t="s">
        <v>221</v>
      </c>
      <c r="W56" s="99"/>
      <c r="X56" s="99"/>
      <c r="Y56" s="99"/>
      <c r="Z56" s="99"/>
      <c r="AA56" s="99"/>
      <c r="AB56" s="99"/>
      <c r="AC56" s="99"/>
      <c r="AD56" s="99"/>
      <c r="AE56" s="84"/>
      <c r="AF56" s="99"/>
      <c r="AG56" s="84"/>
      <c r="AH56" s="99"/>
      <c r="AI56" s="84"/>
      <c r="AJ56" s="99"/>
      <c r="AK56" s="84"/>
      <c r="AL56" s="99"/>
      <c r="AM56" s="99"/>
      <c r="AN56" s="84"/>
      <c r="AO56" s="138" t="str">
        <f t="shared" si="4"/>
        <v>JA</v>
      </c>
    </row>
    <row r="57" spans="2:41" ht="15" customHeight="1" x14ac:dyDescent="0.45">
      <c r="B57" s="49"/>
      <c r="C57" s="210" t="s">
        <v>6</v>
      </c>
      <c r="D57" s="57" t="s">
        <v>60</v>
      </c>
      <c r="E57" s="57" t="s">
        <v>151</v>
      </c>
      <c r="F57" s="58"/>
      <c r="G57" s="49" t="str">
        <f t="shared" si="0"/>
        <v/>
      </c>
      <c r="H57" s="35" t="s">
        <v>222</v>
      </c>
      <c r="I57" s="35" t="s">
        <v>244</v>
      </c>
      <c r="J57" s="1" t="str">
        <f t="shared" si="1"/>
        <v/>
      </c>
      <c r="K57" s="209"/>
      <c r="L57" s="132" t="s">
        <v>244</v>
      </c>
      <c r="M57" s="132" t="s">
        <v>244</v>
      </c>
      <c r="N57" s="132" t="s">
        <v>244</v>
      </c>
      <c r="O57" s="132" t="s">
        <v>244</v>
      </c>
      <c r="P57" s="132" t="s">
        <v>244</v>
      </c>
      <c r="Q57" s="132" t="s">
        <v>244</v>
      </c>
      <c r="R57" s="132" t="s">
        <v>244</v>
      </c>
      <c r="S57" s="132" t="s">
        <v>244</v>
      </c>
      <c r="T57" s="132" t="s">
        <v>244</v>
      </c>
      <c r="U57" s="132" t="s">
        <v>244</v>
      </c>
      <c r="V57" s="132" t="s">
        <v>244</v>
      </c>
      <c r="W57" s="132" t="s">
        <v>244</v>
      </c>
      <c r="X57" s="132" t="s">
        <v>244</v>
      </c>
      <c r="Y57" s="132" t="s">
        <v>244</v>
      </c>
      <c r="Z57" s="132"/>
      <c r="AA57" s="132"/>
      <c r="AB57" s="132"/>
      <c r="AC57" s="132"/>
      <c r="AD57" s="132"/>
      <c r="AE57" s="162"/>
      <c r="AF57" s="132"/>
      <c r="AG57" s="162"/>
      <c r="AH57" s="132"/>
      <c r="AI57" s="162"/>
      <c r="AJ57" s="132"/>
      <c r="AK57" s="162"/>
      <c r="AL57" s="132"/>
      <c r="AM57" s="132"/>
      <c r="AN57" s="162"/>
      <c r="AO57" s="137" t="s">
        <v>244</v>
      </c>
    </row>
    <row r="58" spans="2:41" ht="30" customHeight="1" x14ac:dyDescent="0.45">
      <c r="B58" s="49"/>
      <c r="C58" s="211"/>
      <c r="D58" s="57" t="s">
        <v>61</v>
      </c>
      <c r="E58" s="57" t="s">
        <v>202</v>
      </c>
      <c r="F58" s="58"/>
      <c r="G58" s="49" t="str">
        <f t="shared" si="0"/>
        <v/>
      </c>
      <c r="H58" s="35" t="s">
        <v>221</v>
      </c>
      <c r="I58" s="35" t="s">
        <v>243</v>
      </c>
      <c r="J58" s="1" t="str">
        <f t="shared" si="1"/>
        <v/>
      </c>
      <c r="K58" s="209"/>
      <c r="L58" s="99"/>
      <c r="M58" s="99"/>
      <c r="N58" s="99"/>
      <c r="O58" s="99"/>
      <c r="P58" s="99"/>
      <c r="Q58" s="99" t="s">
        <v>221</v>
      </c>
      <c r="R58" s="99"/>
      <c r="S58" s="99"/>
      <c r="T58" s="99"/>
      <c r="U58" s="99"/>
      <c r="V58" s="99"/>
      <c r="W58" s="99"/>
      <c r="X58" s="99"/>
      <c r="Y58" s="99"/>
      <c r="Z58" s="99"/>
      <c r="AA58" s="99"/>
      <c r="AB58" s="99"/>
      <c r="AC58" s="99"/>
      <c r="AD58" s="99"/>
      <c r="AE58" s="84"/>
      <c r="AF58" s="99"/>
      <c r="AG58" s="84"/>
      <c r="AH58" s="99"/>
      <c r="AI58" s="84"/>
      <c r="AJ58" s="99"/>
      <c r="AK58" s="84"/>
      <c r="AL58" s="99"/>
      <c r="AM58" s="99"/>
      <c r="AN58" s="84"/>
      <c r="AO58" s="138" t="str">
        <f t="shared" si="4"/>
        <v>JA</v>
      </c>
    </row>
    <row r="59" spans="2:41" x14ac:dyDescent="0.45">
      <c r="B59" s="49"/>
      <c r="C59" s="211"/>
      <c r="D59" s="57" t="s">
        <v>62</v>
      </c>
      <c r="E59" s="57" t="s">
        <v>223</v>
      </c>
      <c r="F59" s="58"/>
      <c r="G59" s="49" t="str">
        <f t="shared" si="0"/>
        <v/>
      </c>
      <c r="H59" s="35" t="s">
        <v>221</v>
      </c>
      <c r="I59" s="35" t="s">
        <v>243</v>
      </c>
      <c r="J59" s="1" t="str">
        <f t="shared" si="1"/>
        <v/>
      </c>
      <c r="K59" s="209"/>
      <c r="L59" s="99"/>
      <c r="M59" s="99"/>
      <c r="N59" s="99"/>
      <c r="O59" s="99"/>
      <c r="P59" s="99"/>
      <c r="Q59" s="99"/>
      <c r="R59" s="99"/>
      <c r="S59" s="99"/>
      <c r="T59" s="99"/>
      <c r="U59" s="99"/>
      <c r="V59" s="99"/>
      <c r="W59" s="99"/>
      <c r="X59" s="99"/>
      <c r="Y59" s="99"/>
      <c r="Z59" s="99"/>
      <c r="AA59" s="99"/>
      <c r="AB59" s="99"/>
      <c r="AC59" s="99"/>
      <c r="AD59" s="99"/>
      <c r="AE59" s="84"/>
      <c r="AF59" s="99"/>
      <c r="AG59" s="84"/>
      <c r="AH59" s="99"/>
      <c r="AI59" s="84"/>
      <c r="AJ59" s="99"/>
      <c r="AK59" s="84"/>
      <c r="AL59" s="99"/>
      <c r="AM59" s="99"/>
      <c r="AN59" s="84"/>
      <c r="AO59" s="138" t="str">
        <f t="shared" si="4"/>
        <v>NEE</v>
      </c>
    </row>
    <row r="60" spans="2:41" ht="14.65" thickBot="1" x14ac:dyDescent="0.5">
      <c r="B60" s="49"/>
      <c r="C60" s="212"/>
      <c r="D60" s="57" t="s">
        <v>63</v>
      </c>
      <c r="E60" s="57" t="s">
        <v>224</v>
      </c>
      <c r="F60" s="58"/>
      <c r="G60" s="49" t="str">
        <f t="shared" si="0"/>
        <v/>
      </c>
      <c r="H60" s="35" t="s">
        <v>221</v>
      </c>
      <c r="I60" s="35" t="s">
        <v>243</v>
      </c>
      <c r="J60" s="1" t="str">
        <f t="shared" si="1"/>
        <v/>
      </c>
      <c r="K60" s="209"/>
      <c r="L60" s="99"/>
      <c r="M60" s="99"/>
      <c r="N60" s="99"/>
      <c r="O60" s="99"/>
      <c r="P60" s="98"/>
      <c r="Q60" s="98"/>
      <c r="R60" s="98"/>
      <c r="S60" s="98"/>
      <c r="T60" s="98"/>
      <c r="U60" s="98"/>
      <c r="V60" s="98"/>
      <c r="W60" s="98"/>
      <c r="X60" s="98"/>
      <c r="Y60" s="98"/>
      <c r="Z60" s="98"/>
      <c r="AA60" s="98"/>
      <c r="AB60" s="98"/>
      <c r="AC60" s="98"/>
      <c r="AD60" s="98"/>
      <c r="AE60" s="98"/>
      <c r="AF60" s="98"/>
      <c r="AG60" s="98"/>
      <c r="AH60" s="98"/>
      <c r="AI60" s="98"/>
      <c r="AJ60" s="98"/>
      <c r="AK60" s="98"/>
      <c r="AL60" s="98"/>
      <c r="AM60" s="98"/>
      <c r="AN60" s="98"/>
      <c r="AO60" s="163" t="str">
        <f t="shared" si="4"/>
        <v>NEE</v>
      </c>
    </row>
    <row r="61" spans="2:41" x14ac:dyDescent="0.45">
      <c r="B61" s="49"/>
      <c r="C61" s="189" t="s">
        <v>276</v>
      </c>
      <c r="D61" s="189"/>
      <c r="E61" s="189"/>
      <c r="F61" s="189"/>
      <c r="G61" s="49"/>
      <c r="K61" s="209"/>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146"/>
    </row>
    <row r="62" spans="2:41" ht="15.75" customHeight="1" x14ac:dyDescent="0.45">
      <c r="B62" s="49"/>
      <c r="C62" s="190"/>
      <c r="D62" s="190"/>
      <c r="E62" s="190"/>
      <c r="F62" s="190"/>
      <c r="G62" s="49"/>
      <c r="K62" s="209"/>
    </row>
    <row r="63" spans="2:41" ht="18.75" customHeight="1" x14ac:dyDescent="0.45">
      <c r="B63" s="43"/>
      <c r="C63" s="175" t="str">
        <f>INFO!C28</f>
        <v>Kijk voor meer informatie over VSSR diensten op https://vssr.rijksapplicaties.nl/ of mail naar vssr.info@minjenv.nl</v>
      </c>
      <c r="D63" s="175"/>
      <c r="E63" s="175"/>
      <c r="F63" s="175"/>
      <c r="G63" s="43"/>
      <c r="K63" s="209"/>
    </row>
    <row r="64" spans="2:41" hidden="1" x14ac:dyDescent="0.45">
      <c r="D64" s="24"/>
    </row>
    <row r="65" spans="4:4" hidden="1" x14ac:dyDescent="0.45">
      <c r="D65" s="23"/>
    </row>
    <row r="66" spans="4:4" hidden="1" x14ac:dyDescent="0.45">
      <c r="D66" s="23"/>
    </row>
    <row r="67" spans="4:4" hidden="1" x14ac:dyDescent="0.45">
      <c r="D67" s="23"/>
    </row>
    <row r="68" spans="4:4" hidden="1" x14ac:dyDescent="0.45">
      <c r="D68" s="23"/>
    </row>
    <row r="69" spans="4:4" hidden="1" x14ac:dyDescent="0.45">
      <c r="D69" s="23"/>
    </row>
    <row r="70" spans="4:4" hidden="1" x14ac:dyDescent="0.45">
      <c r="D70" s="23"/>
    </row>
    <row r="71" spans="4:4" hidden="1" x14ac:dyDescent="0.45">
      <c r="D71" s="23"/>
    </row>
    <row r="72" spans="4:4" hidden="1" x14ac:dyDescent="0.45">
      <c r="D72" s="23"/>
    </row>
  </sheetData>
  <mergeCells count="43">
    <mergeCell ref="AO1:AO8"/>
    <mergeCell ref="Y1:Y8"/>
    <mergeCell ref="X1:X8"/>
    <mergeCell ref="W1:W8"/>
    <mergeCell ref="V1:V8"/>
    <mergeCell ref="Z1:Z8"/>
    <mergeCell ref="AA1:AA8"/>
    <mergeCell ref="AB1:AB8"/>
    <mergeCell ref="AC1:AC8"/>
    <mergeCell ref="AD1:AD8"/>
    <mergeCell ref="AE1:AE8"/>
    <mergeCell ref="AF1:AF8"/>
    <mergeCell ref="AG1:AG8"/>
    <mergeCell ref="AH1:AH8"/>
    <mergeCell ref="AI1:AI8"/>
    <mergeCell ref="AJ1:AJ8"/>
    <mergeCell ref="C63:F63"/>
    <mergeCell ref="C57:C60"/>
    <mergeCell ref="C17:C42"/>
    <mergeCell ref="C9:C16"/>
    <mergeCell ref="C47:C56"/>
    <mergeCell ref="C43:C46"/>
    <mergeCell ref="C61:F62"/>
    <mergeCell ref="C2:F2"/>
    <mergeCell ref="C4:F4"/>
    <mergeCell ref="C5:F5"/>
    <mergeCell ref="C6:F6"/>
    <mergeCell ref="C7:F7"/>
    <mergeCell ref="K2:K63"/>
    <mergeCell ref="L1:L8"/>
    <mergeCell ref="M1:M8"/>
    <mergeCell ref="N1:N8"/>
    <mergeCell ref="O1:O8"/>
    <mergeCell ref="P1:P8"/>
    <mergeCell ref="Q1:Q8"/>
    <mergeCell ref="R1:R8"/>
    <mergeCell ref="S1:S8"/>
    <mergeCell ref="T1:T8"/>
    <mergeCell ref="AK1:AK8"/>
    <mergeCell ref="AL1:AL8"/>
    <mergeCell ref="AM1:AM8"/>
    <mergeCell ref="AN1:AN8"/>
    <mergeCell ref="U1:U8"/>
  </mergeCells>
  <conditionalFormatting sqref="D11:E13">
    <cfRule type="expression" dxfId="7" priority="11">
      <formula>$F$10="NEE"</formula>
    </cfRule>
  </conditionalFormatting>
  <conditionalFormatting sqref="D23:E23 D26:E26">
    <cfRule type="expression" dxfId="6" priority="10">
      <formula>$F$22="NEE"</formula>
    </cfRule>
  </conditionalFormatting>
  <conditionalFormatting sqref="D36:E36">
    <cfRule type="expression" dxfId="5" priority="9">
      <formula>$F$35="NEE"</formula>
    </cfRule>
  </conditionalFormatting>
  <conditionalFormatting sqref="D39:E39">
    <cfRule type="expression" dxfId="4" priority="7">
      <formula>AND($F$37="NEE",$F$38="NEE")</formula>
    </cfRule>
  </conditionalFormatting>
  <conditionalFormatting sqref="D43:E43">
    <cfRule type="expression" dxfId="3" priority="6">
      <formula>$F$10="NEE"</formula>
    </cfRule>
  </conditionalFormatting>
  <conditionalFormatting sqref="D44:E44">
    <cfRule type="expression" dxfId="2" priority="5">
      <formula>$F$14="NEE"</formula>
    </cfRule>
  </conditionalFormatting>
  <conditionalFormatting sqref="D45:E46">
    <cfRule type="expression" dxfId="1" priority="1">
      <formula>AND($F$10="NEE",$F$14="NEE")</formula>
    </cfRule>
  </conditionalFormatting>
  <conditionalFormatting sqref="AO9:AO61">
    <cfRule type="expression" dxfId="0" priority="2">
      <formula>AO9="NEE"</formula>
    </cfRule>
  </conditionalFormatting>
  <dataValidations count="1">
    <dataValidation type="list" allowBlank="1" showInputMessage="1" showErrorMessage="1" sqref="L58:AN61 L50:AN56 L10:AN14 L17:AN46" xr:uid="{56FBEB60-4C08-472D-825A-78901853F57A}">
      <formula1>"ja,nee"</formula1>
    </dataValidation>
  </dataValidations>
  <hyperlinks>
    <hyperlink ref="C63:F63" r:id="rId1" display="https://vssr.rijksapplicaties.nl/" xr:uid="{4795A061-93A2-4010-97AC-85E8E416A2FE}"/>
  </hyperlinks>
  <pageMargins left="0.7" right="0.7" top="0.75" bottom="0.75" header="0.3" footer="0.3"/>
  <pageSetup orientation="portrait" r:id="rId2"/>
  <ignoredErrors>
    <ignoredError sqref="F23 F36 F39 F12:F13 F43:F45" unlockedFormula="1"/>
  </ignoredErrors>
  <drawing r:id="rId3"/>
  <extLst>
    <ext xmlns:x14="http://schemas.microsoft.com/office/spreadsheetml/2009/9/main" uri="{CCE6A557-97BC-4b89-ADB6-D9C93CAAB3DF}">
      <x14:dataValidations xmlns:xm="http://schemas.microsoft.com/office/excel/2006/main" count="4">
        <x14:dataValidation type="list" allowBlank="1" showInputMessage="1" showErrorMessage="1" prompt="JA/NEE" xr:uid="{00000000-0002-0000-0300-000000000000}">
          <x14:formula1>
            <xm:f>DATA!$B$4:$B$5</xm:f>
          </x14:formula1>
          <xm:sqref>F49:F60 F10:F44 F46</xm:sqref>
        </x14:dataValidation>
        <x14:dataValidation type="list" allowBlank="1" showInputMessage="1" showErrorMessage="1" prompt="Aantal" xr:uid="{00000000-0002-0000-0300-000002000000}">
          <x14:formula1>
            <xm:f>DATA!$D$4:$D$10</xm:f>
          </x14:formula1>
          <xm:sqref>F47 F9</xm:sqref>
        </x14:dataValidation>
        <x14:dataValidation type="list" allowBlank="1" showInputMessage="1" showErrorMessage="1" prompt="Aantal" xr:uid="{FE406368-AC87-4F3E-AB7E-190B1D9B0D9D}">
          <x14:formula1>
            <xm:f>DATA!$E$4:$E$10</xm:f>
          </x14:formula1>
          <xm:sqref>F48</xm:sqref>
        </x14:dataValidation>
        <x14:dataValidation type="list" allowBlank="1" showInputMessage="1" showErrorMessage="1" xr:uid="{8B97085E-1E82-450A-9506-E3564DE5F488}">
          <x14:formula1>
            <xm:f>DATA!$B$4:$B$5</xm:f>
          </x14:formula1>
          <xm:sqref>F45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DD5A2-8201-4E7A-9EB7-C70E297D4286}">
  <dimension ref="A1:S53"/>
  <sheetViews>
    <sheetView workbookViewId="0">
      <selection activeCell="J30" sqref="J30"/>
    </sheetView>
  </sheetViews>
  <sheetFormatPr defaultRowHeight="14.25" x14ac:dyDescent="0.45"/>
  <cols>
    <col min="1" max="1" width="5.86328125" customWidth="1"/>
    <col min="2" max="2" width="4.73046875" style="74" bestFit="1" customWidth="1"/>
    <col min="3" max="3" width="7" style="75" bestFit="1" customWidth="1"/>
    <col min="4" max="4" width="3.73046875" style="75" customWidth="1"/>
    <col min="5" max="5" width="35.1328125" customWidth="1"/>
    <col min="6" max="6" width="42.59765625" customWidth="1"/>
    <col min="7" max="7" width="78.59765625" customWidth="1"/>
    <col min="8" max="8" width="20.59765625" customWidth="1"/>
    <col min="9" max="9" width="41.3984375" style="105" customWidth="1"/>
    <col min="10" max="10" width="81.3984375" style="28" customWidth="1"/>
    <col min="11" max="11" width="4.59765625" customWidth="1"/>
    <col min="12" max="12" width="39.1328125" style="112" customWidth="1"/>
    <col min="13" max="13" width="56.265625" style="74" customWidth="1"/>
    <col min="14" max="14" width="43" style="74" customWidth="1"/>
    <col min="15" max="15" width="31.3984375" style="74" customWidth="1"/>
    <col min="17" max="17" width="29.265625" customWidth="1"/>
    <col min="18" max="18" width="60.73046875" customWidth="1"/>
    <col min="19" max="19" width="39" customWidth="1"/>
  </cols>
  <sheetData>
    <row r="1" spans="1:19" x14ac:dyDescent="0.45">
      <c r="E1" s="76" t="s">
        <v>286</v>
      </c>
      <c r="F1" s="76"/>
      <c r="I1"/>
      <c r="L1" s="75"/>
    </row>
    <row r="2" spans="1:19" s="105" customFormat="1" x14ac:dyDescent="0.45">
      <c r="B2" s="111"/>
      <c r="C2" s="112"/>
      <c r="D2" s="112"/>
      <c r="E2" s="105" t="s">
        <v>287</v>
      </c>
      <c r="J2" s="109"/>
      <c r="L2" s="112"/>
      <c r="M2" s="111"/>
      <c r="N2" s="111"/>
      <c r="O2" s="111"/>
    </row>
    <row r="3" spans="1:19" s="105" customFormat="1" x14ac:dyDescent="0.45">
      <c r="A3" s="104"/>
      <c r="B3" s="103" t="s">
        <v>137</v>
      </c>
      <c r="C3" s="113" t="s">
        <v>138</v>
      </c>
      <c r="D3" s="113"/>
      <c r="E3" s="114" t="s">
        <v>290</v>
      </c>
      <c r="F3" s="114" t="s">
        <v>255</v>
      </c>
      <c r="G3" s="114" t="s">
        <v>225</v>
      </c>
      <c r="H3" s="114" t="s">
        <v>226</v>
      </c>
      <c r="I3" s="114" t="s">
        <v>238</v>
      </c>
      <c r="J3" s="115" t="s">
        <v>227</v>
      </c>
      <c r="K3" s="116"/>
      <c r="L3" s="117" t="s">
        <v>228</v>
      </c>
      <c r="M3" s="114" t="s">
        <v>259</v>
      </c>
      <c r="N3" s="114" t="s">
        <v>260</v>
      </c>
      <c r="O3" s="114" t="s">
        <v>258</v>
      </c>
      <c r="R3" s="105" t="s">
        <v>362</v>
      </c>
      <c r="S3" s="105" t="s">
        <v>361</v>
      </c>
    </row>
    <row r="4" spans="1:19" ht="57" x14ac:dyDescent="0.45">
      <c r="B4" s="156">
        <f>IF(L4="JA",1,0)</f>
        <v>0</v>
      </c>
      <c r="C4" s="156" t="str">
        <f>IF(L4="JA",1,"Nvt")</f>
        <v>Nvt</v>
      </c>
      <c r="D4" s="79"/>
      <c r="E4" s="33" t="s">
        <v>370</v>
      </c>
      <c r="F4" s="33" t="s">
        <v>256</v>
      </c>
      <c r="G4" s="33" t="s">
        <v>253</v>
      </c>
      <c r="H4" s="74" t="s">
        <v>194</v>
      </c>
      <c r="I4" s="110" t="str">
        <f t="shared" ref="I4:I12" si="0">IF(E4="","",E4&amp;" (Bron: "&amp;H4&amp;")")</f>
        <v>Strategische Aanbevelingen, onderdeel van "SOC Readiness Assistance" (Bron: VSSR)</v>
      </c>
      <c r="J4" s="33" t="str">
        <f>R4&amp;S4</f>
        <v>https://www.ncsc.nl/soc/het-vertrekpunt-voor-een-soc#:~:text=SOC%20Readiness%20Assistance</v>
      </c>
      <c r="L4" s="133" t="str">
        <f>IF(M4="","NEE","JA")</f>
        <v>NEE</v>
      </c>
      <c r="M4" s="154" t="str">
        <f>IF(AND(Strategisch!F9="NEE",Strategisch!L9="ja"),Strategisch!$D$9&amp;", ",)&amp;IF(AND(Strategisch!F10="NEE",Strategisch!L10="ja"),Strategisch!$D$10&amp;", ",)&amp;IF(AND(Strategisch!F11="NEE",Strategisch!L11="ja"),Strategisch!$D$11&amp;", ",)&amp;IF(AND(Strategisch!F12="NEE",Strategisch!L12="ja"),Strategisch!$D$12&amp;", ",)&amp;IF(AND(Strategisch!F13="NEE",Strategisch!L13="ja"),Strategisch!$D$13&amp;", ",)&amp;IF(AND(Strategisch!F14="NEE",Strategisch!L14="ja"),Strategisch!$D$14&amp;", ",)&amp;IF(AND(Strategisch!F15="NEE",Strategisch!L15="ja"),Strategisch!$D$15&amp;", ",)&amp;
IF(OR(AND(Strategisch!F16="NEE",Strategisch!L16="ja"),AND(Strategisch!F18="NEE",Strategisch!L18="ja")),Strategisch!D16&amp;", ","") &amp;IF(AND(Strategisch!F19="NEE",Strategisch!L19="ja"),Strategisch!$D$19&amp;", ",)
&amp;IF(AND(Strategisch!F20="NEE",Strategisch!L20="ja"),Strategisch!$D$20&amp;", ",)
&amp;IF(AND(Strategisch!F21="NEE",Strategisch!L21="ja"),Strategisch!$D$21&amp;", ",)
&amp;IF(AND(Strategisch!F22="NEE",Strategisch!L22="ja"),Strategisch!$D$22&amp;", ",)
&amp;IF(OR(AND(Strategisch!F23="NEE",Strategisch!L23="ja"),AND(Strategisch!F25="NEE",Strategisch!L25="ja"),AND(Strategisch!F26="NEE",Strategisch!L26="ja"),AND(Strategisch!F27="NEE",Strategisch!L27="ja")),"Beleid, ","")
&amp;IF(AND(Strategisch!F24="NEE",Strategisch!L24="ja"),"Beleid - Incident Response, ","")
&amp;IF(OR(AND(Strategisch!F28="NEE",Strategisch!L28="ja"),AND(Strategisch!F29="NEE",Strategisch!L29="ja")),Strategisch!D28&amp;", ","")
&amp;IF(AND(Strategisch!F30="NEE",Strategisch!L30="ja"),Strategisch!$D$30&amp;", ",)
&amp;IF(AND(Strategisch!F31="NEE",Strategisch!L31="ja"),Strategisch!$D$31&amp;", ",)
&amp;IF(OR(AND(Strategisch!F32="NEE",Strategisch!L32="ja"),AND(Strategisch!F33="NEE",Strategisch!L33="ja")),Strategisch!D32&amp;", ","")</f>
        <v/>
      </c>
      <c r="N4" s="33" t="s">
        <v>152</v>
      </c>
      <c r="O4" s="74" t="s">
        <v>0</v>
      </c>
      <c r="R4" s="33" t="s">
        <v>358</v>
      </c>
      <c r="S4" s="74" t="s">
        <v>369</v>
      </c>
    </row>
    <row r="5" spans="1:19" ht="57" x14ac:dyDescent="0.45">
      <c r="B5" s="156">
        <f t="shared" ref="B5:B52" si="1">IF(L5="JA",1,0)</f>
        <v>0</v>
      </c>
      <c r="C5" s="156" t="str">
        <f>IF(B5=1,SUM($B$4:B5),"Nvt")</f>
        <v>Nvt</v>
      </c>
      <c r="D5" s="79"/>
      <c r="E5" s="33" t="s">
        <v>370</v>
      </c>
      <c r="F5" s="33" t="s">
        <v>256</v>
      </c>
      <c r="G5" s="74" t="s">
        <v>253</v>
      </c>
      <c r="H5" s="74" t="s">
        <v>194</v>
      </c>
      <c r="I5" s="110" t="str">
        <f t="shared" si="0"/>
        <v>Strategische Aanbevelingen, onderdeel van "SOC Readiness Assistance" (Bron: VSSR)</v>
      </c>
      <c r="J5" s="1" t="str">
        <f t="shared" ref="J5:J12" si="2">R5&amp;S5</f>
        <v>https://www.ncsc.nl/soc/het-vertrekpunt-voor-een-soc#:~:text=SOC%20Readiness%20Assistance</v>
      </c>
      <c r="L5" s="133" t="str">
        <f>IF(M5="","NEE","JA")</f>
        <v>NEE</v>
      </c>
      <c r="M5" s="154" t="str">
        <f>IF(AND(Strategisch!F9="NEE",Strategisch!M9="ja"),Strategisch!$D$9&amp;", ",)&amp;IF(AND(Strategisch!F10="NEE",Strategisch!M10="ja"),Strategisch!$D$10&amp;", ",)&amp;IF(AND(Strategisch!F11="NEE",Strategisch!M11="ja"),Strategisch!$D$11&amp;", ",)&amp;IF(AND(Strategisch!F12="NEE",Strategisch!M12="ja"),Strategisch!$D$12&amp;", ",)&amp;IF(AND(Strategisch!F13="NEE",Strategisch!M13="ja"),Strategisch!$D$13&amp;", ",)&amp;IF(AND(Strategisch!F14="NEE",Strategisch!M14="ja"),Strategisch!$D$14&amp;", ",)&amp;IF(AND(Strategisch!F15="NEE",Strategisch!M15="ja"),Strategisch!$D$15&amp;", ",)&amp;
IF(OR(AND(Strategisch!F16="NEE",Strategisch!M16="ja"),AND(Strategisch!F18="NEE",Strategisch!M18="ja")),Strategisch!D16&amp;", ","") &amp;IF(AND(Strategisch!F19="NEE",Strategisch!M19="ja"),Strategisch!$D$19&amp;", ",)
&amp;IF(AND(Strategisch!F20="NEE",Strategisch!M20="ja"),Strategisch!$D$20&amp;", ",)
&amp;IF(AND(Strategisch!F21="NEE",Strategisch!M21="ja"),Strategisch!$D$21&amp;", ",)
&amp;IF(AND(Strategisch!F22="NEE",Strategisch!M22="ja"),Strategisch!$D$22&amp;", ",)
&amp;IF(OR(AND(Strategisch!F23="NEE",Strategisch!M23="ja"),AND(Strategisch!F25="NEE",Strategisch!M25="ja"),AND(Strategisch!F26="NEE",Strategisch!M26="ja"),AND(Strategisch!F27="NEE",Strategisch!M27="ja")),"Beleid, ","")
&amp;IF(AND(Strategisch!F24="NEE",Strategisch!M24="ja"),"Beleid - Incident Response, ","")
&amp;IF(OR(AND(Strategisch!F28="NEE",Strategisch!M28="ja"),AND(Strategisch!F29="NEE",Strategisch!M29="ja")),Strategisch!D28&amp;", ","")
&amp;IF(AND(Strategisch!F30="NEE",Strategisch!M30="ja"),Strategisch!$D$30&amp;", ",)
&amp;IF(AND(Strategisch!F31="NEE",Strategisch!M31="ja"),Strategisch!$D$31&amp;", ",)
&amp;IF(OR(AND(Strategisch!F32="NEE",Strategisch!M32="ja"),AND(Strategisch!F33="NEE",Strategisch!M33="ja")),Strategisch!D32&amp;", ","")</f>
        <v/>
      </c>
      <c r="N5" s="33" t="s">
        <v>25</v>
      </c>
      <c r="O5" s="74" t="s">
        <v>0</v>
      </c>
      <c r="R5" s="33" t="str">
        <f>$R$4</f>
        <v>https://www.ncsc.nl/soc/het-vertrekpunt-voor-een-soc#:~:text=</v>
      </c>
      <c r="S5" s="74" t="s">
        <v>369</v>
      </c>
    </row>
    <row r="6" spans="1:19" ht="57" x14ac:dyDescent="0.45">
      <c r="B6" s="156">
        <f t="shared" si="1"/>
        <v>0</v>
      </c>
      <c r="C6" s="156" t="str">
        <f>IF(B6=1,SUM($B$4:B6),"Nvt")</f>
        <v>Nvt</v>
      </c>
      <c r="D6" s="79"/>
      <c r="E6" s="33" t="s">
        <v>373</v>
      </c>
      <c r="F6" s="33" t="s">
        <v>251</v>
      </c>
      <c r="G6" s="33" t="s">
        <v>252</v>
      </c>
      <c r="H6" s="74" t="s">
        <v>194</v>
      </c>
      <c r="I6" s="110" t="str">
        <f t="shared" si="0"/>
        <v>Security Policies, onderdeel van "SOC Readiness Assistance" (Bron: VSSR)</v>
      </c>
      <c r="J6" s="33" t="str">
        <f t="shared" si="2"/>
        <v>https://www.ncsc.nl/soc/het-vertrekpunt-voor-een-soc#:~:text=SOC%20Readiness%20Assistance</v>
      </c>
      <c r="L6" s="133" t="str">
        <f t="shared" ref="L6:L43" si="3">IF(M6="","NEE","JA")</f>
        <v>NEE</v>
      </c>
      <c r="M6" s="154" t="str">
        <f>IF(AND(Strategisch!F9="NEE",Strategisch!N9="ja"),Strategisch!$D$9&amp;", ",)&amp;IF(AND(Strategisch!F10="NEE",Strategisch!N10="ja"),Strategisch!$D$10&amp;", ",)&amp;IF(AND(Strategisch!F11="NEE",Strategisch!N11="ja"),Strategisch!$D$11&amp;", ",)&amp;IF(AND(Strategisch!F12="NEE",Strategisch!N12="ja"),Strategisch!$D$12&amp;", ",)&amp;IF(AND(Strategisch!F13="NEE",Strategisch!N13="ja"),Strategisch!$D$13&amp;", ",)&amp;IF(AND(Strategisch!F14="NEE",Strategisch!N14="ja"),Strategisch!$D$14&amp;", ",)&amp;IF(AND(Strategisch!F15="NEE",Strategisch!N15="ja"),Strategisch!$D$15&amp;", ",)&amp;
IF(OR(AND(Strategisch!F16="NEE",Strategisch!N16="ja"),AND(Strategisch!F18="NEE",Strategisch!N18="ja")),Strategisch!D16&amp;", ","") &amp;IF(AND(Strategisch!F19="NEE",Strategisch!N19="ja"),Strategisch!$D$19&amp;", ",)
&amp;IF(AND(Strategisch!F20="NEE",Strategisch!N20="ja"),Strategisch!$D$20&amp;", ",)
&amp;IF(AND(Strategisch!F21="NEE",Strategisch!N21="ja"),Strategisch!$D$21&amp;", ",)
&amp;IF(AND(Strategisch!F22="NEE",Strategisch!N22="ja"),Strategisch!$D$22&amp;", ",)
&amp;IF(OR(AND(Strategisch!F23="NEE",Strategisch!N23="ja"),AND(Strategisch!F25="NEE",Strategisch!N25="ja"),AND(Strategisch!F26="NEE",Strategisch!N26="ja"),AND(Strategisch!F27="NEE",Strategisch!N27="ja")),"Beleid, ","")
&amp;IF(AND(Strategisch!F24="NEE",Strategisch!N24="ja"),"Beleid - Incident Response, ","")
&amp;IF(OR(AND(Strategisch!F28="NEE",Strategisch!N28="ja"),AND(Strategisch!F29="NEE",Strategisch!N29="ja")),Strategisch!D28&amp;", ","")
&amp;IF(AND(Strategisch!F30="NEE",Strategisch!N30="ja"),Strategisch!$D$30&amp;", ",)
&amp;IF(AND(Strategisch!F31="NEE",Strategisch!N31="ja"),Strategisch!$D$31&amp;", ",)
&amp;IF(OR(AND(Strategisch!F32="NEE",Strategisch!N32="ja"),AND(Strategisch!F33="NEE",Strategisch!N33="ja")),Strategisch!D32&amp;", ","")</f>
        <v/>
      </c>
      <c r="N6" s="33" t="s">
        <v>2</v>
      </c>
      <c r="O6" s="74" t="s">
        <v>0</v>
      </c>
      <c r="R6" s="33" t="str">
        <f t="shared" ref="R6:R7" si="4">$R$4</f>
        <v>https://www.ncsc.nl/soc/het-vertrekpunt-voor-een-soc#:~:text=</v>
      </c>
      <c r="S6" s="74" t="s">
        <v>369</v>
      </c>
    </row>
    <row r="7" spans="1:19" ht="57" x14ac:dyDescent="0.45">
      <c r="B7" s="156">
        <f t="shared" si="1"/>
        <v>0</v>
      </c>
      <c r="C7" s="156" t="str">
        <f>IF(B7=1,SUM($B$4:B7),"Nvt")</f>
        <v>Nvt</v>
      </c>
      <c r="D7" s="79"/>
      <c r="E7" s="33" t="s">
        <v>371</v>
      </c>
      <c r="F7" s="33" t="s">
        <v>335</v>
      </c>
      <c r="G7" s="33" t="s">
        <v>252</v>
      </c>
      <c r="H7" s="33" t="s">
        <v>194</v>
      </c>
      <c r="I7" s="110" t="str">
        <f>IF(E7="","",E7&amp;" (Bron: "&amp;H7&amp;")")</f>
        <v>Incident Response beleidsvoorbeelden en templates, onderdeel van "Incident Response Readiness" (Bron: VSSR)</v>
      </c>
      <c r="J7" s="33" t="str">
        <f t="shared" si="2"/>
        <v>https://www.ncsc.nl/soc/het-vertrekpunt-voor-een-soc#:~:text=Incident%20Response%20Readiness</v>
      </c>
      <c r="L7" s="133" t="str">
        <f t="shared" si="3"/>
        <v>NEE</v>
      </c>
      <c r="M7" s="154" t="str">
        <f>IF(AND(Strategisch!F9="NEE",Strategisch!O9="ja"),Strategisch!$D$9&amp;", ",)&amp;IF(AND(Strategisch!F10="NEE",Strategisch!O10="ja"),Strategisch!$D$10&amp;", ",)&amp;IF(AND(Strategisch!F11="NEE",Strategisch!O11="ja"),Strategisch!$D$11&amp;", ",)&amp;IF(AND(Strategisch!F12="NEE",Strategisch!O12="ja"),Strategisch!$D$12&amp;", ",)&amp;IF(AND(Strategisch!F13="NEE",Strategisch!O13="ja"),Strategisch!$D$13&amp;", ",)&amp;IF(AND(Strategisch!F14="NEE",Strategisch!O14="ja"),Strategisch!$D$14&amp;", ",)&amp;IF(AND(Strategisch!F15="NEE",Strategisch!O15="ja"),Strategisch!$D$15&amp;", ",)&amp;
IF(OR(AND(Strategisch!F16="NEE",Strategisch!O16="ja"),AND(Strategisch!F18="NEE",Strategisch!O18="ja")),Strategisch!D16&amp;", ","") &amp;IF(AND(Strategisch!F19="NEE",Strategisch!O19="ja"),Strategisch!$D$19&amp;", ",)
&amp;IF(AND(Strategisch!F20="NEE",Strategisch!O20="ja"),Strategisch!$D$20&amp;", ",)
&amp;IF(AND(Strategisch!F21="NEE",Strategisch!O21="ja"),Strategisch!$D$21&amp;", ",)
&amp;IF(AND(Strategisch!F22="NEE",Strategisch!O22="ja"),Strategisch!$D$22&amp;", ",)
&amp;IF(OR(AND(Strategisch!F23="NEE",Strategisch!O23="ja"),AND(Strategisch!F25="NEE",Strategisch!O25="ja"),AND(Strategisch!F26="NEE",Strategisch!O26="ja"),AND(Strategisch!F27="NEE",Strategisch!O27="ja")),"Beleid, ","")
&amp;IF(AND(Strategisch!F24="NEE",Strategisch!O24="ja"),"Beleid - Incident Response, ","")
&amp;IF(OR(AND(Strategisch!F28="NEE",Strategisch!O28="ja"),AND(Strategisch!F29="NEE",Strategisch!O29="ja")),Strategisch!D28&amp;", ","")
&amp;IF(AND(Strategisch!F30="NEE",Strategisch!O30="ja"),Strategisch!$D$30&amp;", ",)
&amp;IF(AND(Strategisch!F31="NEE",Strategisch!O31="ja"),Strategisch!$D$31&amp;", ",)
&amp;IF(OR(AND(Strategisch!F32="NEE",Strategisch!O32="ja"),AND(Strategisch!F33="NEE",Strategisch!O33="ja")),Strategisch!D32&amp;", ","")</f>
        <v/>
      </c>
      <c r="N7" s="33" t="s">
        <v>2</v>
      </c>
      <c r="O7" s="74" t="s">
        <v>0</v>
      </c>
      <c r="R7" s="33" t="str">
        <f t="shared" si="4"/>
        <v>https://www.ncsc.nl/soc/het-vertrekpunt-voor-een-soc#:~:text=</v>
      </c>
      <c r="S7" s="74" t="s">
        <v>360</v>
      </c>
    </row>
    <row r="8" spans="1:19" ht="42.75" x14ac:dyDescent="0.45">
      <c r="B8" s="156">
        <f t="shared" si="1"/>
        <v>0</v>
      </c>
      <c r="C8" s="156" t="str">
        <f>IF(B8=1,SUM($B$4:B8),"Nvt")</f>
        <v>Nvt</v>
      </c>
      <c r="D8" s="79"/>
      <c r="E8" s="33" t="s">
        <v>328</v>
      </c>
      <c r="F8" s="33" t="s">
        <v>329</v>
      </c>
      <c r="G8" s="1" t="s">
        <v>330</v>
      </c>
      <c r="H8" s="33" t="s">
        <v>230</v>
      </c>
      <c r="I8" s="110" t="str">
        <f t="shared" si="0"/>
        <v>Routekaart risicomanagement (Bron: NCSC)</v>
      </c>
      <c r="J8" s="33" t="str">
        <f t="shared" si="2"/>
        <v>https://www.ncsc.nl/wat-kun-je-zelf-doen/routekaart-risicomanagement</v>
      </c>
      <c r="L8" s="133" t="str">
        <f t="shared" si="3"/>
        <v>NEE</v>
      </c>
      <c r="M8" s="154" t="str">
        <f>IF(AND(Strategisch!F9="NEE",Strategisch!P9="ja"),Strategisch!$D$9&amp;", ",)&amp;IF(AND(Strategisch!F10="NEE",Strategisch!P10="ja"),Strategisch!$D$10&amp;", ",)&amp;IF(AND(Strategisch!F11="NEE",Strategisch!P11="ja"),Strategisch!$D$11&amp;", ",)&amp;IF(AND(Strategisch!F12="NEE",Strategisch!P12="ja"),Strategisch!$D$12&amp;", ",)&amp;IF(AND(Strategisch!F13="NEE",Strategisch!P13="ja"),Strategisch!$D$13&amp;", ",)&amp;IF(AND(Strategisch!F14="NEE",Strategisch!P14="ja"),Strategisch!$D$14&amp;", ",)&amp;IF(AND(Strategisch!F15="NEE",Strategisch!P15="ja"),Strategisch!$D$15&amp;", ",)&amp;
IF(OR(AND(Strategisch!F16="NEE",Strategisch!P16="ja"),AND(Strategisch!F18="NEE",Strategisch!P18="ja")),Strategisch!D16&amp;", ","") &amp;IF(AND(Strategisch!F19="NEE",Strategisch!P19="ja"),Strategisch!$D$19&amp;", ",)
&amp;IF(AND(Strategisch!F20="NEE",Strategisch!P20="ja"),Strategisch!$D$20&amp;", ",)
&amp;IF(AND(Strategisch!F21="NEE",Strategisch!P21="ja"),Strategisch!$D$21&amp;", ",)
&amp;IF(AND(Strategisch!F22="NEE",Strategisch!P22="ja"),Strategisch!$D$22&amp;", ",)
&amp;IF(OR(AND(Strategisch!F23="NEE",Strategisch!P23="ja"),AND(Strategisch!F24="NEE",Strategisch!P24="ja"),AND(Strategisch!F25="NEE",Strategisch!P25="ja"),AND(Strategisch!F26="NEE",Strategisch!P26="ja"),AND(Strategisch!F27="NEE",Strategisch!P27="ja")),"Beleid, ","")
&amp;IF(OR(AND(Strategisch!F28="NEE",Strategisch!P28="ja"),AND(Strategisch!F29="NEE",Strategisch!P29="ja")),Strategisch!D28&amp;", ","")
&amp;IF(AND(Strategisch!F30="NEE",Strategisch!P30="ja"),Strategisch!$D$30&amp;", ",)
&amp;IF(AND(Strategisch!F31="NEE",Strategisch!P31="ja"),Strategisch!$D$31&amp;", ",)
&amp;IF(OR(AND(Strategisch!F32="NEE",Strategisch!P32="ja"),AND(Strategisch!F33="NEE",Strategisch!P33="ja")),Strategisch!D32&amp;", ","")</f>
        <v/>
      </c>
      <c r="N8" s="33" t="s">
        <v>48</v>
      </c>
      <c r="O8" s="74" t="s">
        <v>0</v>
      </c>
      <c r="R8" s="33" t="s">
        <v>327</v>
      </c>
      <c r="S8" s="74"/>
    </row>
    <row r="9" spans="1:19" ht="42.75" x14ac:dyDescent="0.45">
      <c r="B9" s="156">
        <f t="shared" ref="B9:B11" si="5">IF(L9="JA",1,0)</f>
        <v>0</v>
      </c>
      <c r="C9" s="156" t="str">
        <f>IF(B9=1,SUM($B$4:B9),"Nvt")</f>
        <v>Nvt</v>
      </c>
      <c r="D9" s="79"/>
      <c r="E9" s="33" t="s">
        <v>325</v>
      </c>
      <c r="F9" s="33" t="s">
        <v>326</v>
      </c>
      <c r="G9" s="1" t="s">
        <v>330</v>
      </c>
      <c r="H9" s="74" t="s">
        <v>230</v>
      </c>
      <c r="I9" s="110" t="str">
        <f t="shared" si="0"/>
        <v>Hoe breng ik mijn te beschermen belangen in kaart? (Bron: NCSC)</v>
      </c>
      <c r="J9" s="33" t="str">
        <f t="shared" si="2"/>
        <v>https://www.ncsc.nl/wat-kun-je-zelf-doen/weerbaarheid/herkennen/hoe-breng-ik-mijn-te-beschermen-belangen-in-kaart</v>
      </c>
      <c r="L9" s="133" t="str">
        <f t="shared" ref="L9:L11" si="6">IF(M9="","NEE","JA")</f>
        <v>NEE</v>
      </c>
      <c r="M9" s="154" t="str">
        <f>IF(AND(Strategisch!F9="NEE",Strategisch!Q9="ja"),Strategisch!$D$9&amp;", ",)&amp;IF(AND(Strategisch!F10="NEE",Strategisch!Q10="ja"),Strategisch!$D$10&amp;", ",)&amp;IF(AND(Strategisch!F11="NEE",Strategisch!Q11="ja"),Strategisch!$D$11&amp;", ",)&amp;IF(AND(Strategisch!F12="NEE",Strategisch!Q12="ja"),Strategisch!$D$12&amp;", ",)&amp;IF(AND(Strategisch!F13="NEE",Strategisch!Q13="ja"),Strategisch!$D$13&amp;", ",)&amp;IF(AND(Strategisch!F14="NEE",Strategisch!Q14="ja"),Strategisch!$D$14&amp;", ",)&amp;IF(AND(Strategisch!F15="NEE",Strategisch!Q15="ja"),Strategisch!$D$15&amp;", ",)&amp;
IF(OR(AND(Strategisch!F16="NEE",Strategisch!Q16="ja"),AND(Strategisch!F18="NEE",Strategisch!Q18="ja")),Strategisch!D16&amp;", ","") &amp;IF(AND(Strategisch!F19="NEE",Strategisch!Q19="ja"),Strategisch!$D$19&amp;", ",)
&amp;IF(AND(Strategisch!F20="NEE",Strategisch!Q20="ja"),Strategisch!$D$20&amp;", ",)
&amp;IF(AND(Strategisch!F21="NEE",Strategisch!Q21="ja"),Strategisch!$D$21&amp;", ",)
&amp;IF(AND(Strategisch!F22="NEE",Strategisch!Q22="ja"),Strategisch!$D$22&amp;", ",)
&amp;IF(OR(AND(Strategisch!F23="NEE",Strategisch!Q23="ja"),AND(Strategisch!F25="NEE",Strategisch!Q25="ja"),AND(Strategisch!F26="NEE",Strategisch!Q26="ja"),AND(Strategisch!F27="NEE",Strategisch!Q27="ja")),"Beleid, ","")
&amp;IF(AND(Strategisch!F24="NEE",Strategisch!Q24="ja"),"Beleid - Incident Response, ","")
&amp;IF(OR(AND(Strategisch!F28="NEE",Strategisch!Q28="ja"),AND(Strategisch!F29="NEE",Strategisch!Q29="ja")),Strategisch!D28&amp;", ","")
&amp;IF(AND(Strategisch!F30="NEE",Strategisch!Q30="ja"),Strategisch!$D$30&amp;", ",)
&amp;IF(AND(Strategisch!F31="NEE",Strategisch!Q31="ja"),Strategisch!$D$31&amp;", ",)
&amp;IF(OR(AND(Strategisch!F32="NEE",Strategisch!Q32="ja"),AND(Strategisch!F33="NEE",Strategisch!Q33="ja")),Strategisch!D32&amp;", ","")</f>
        <v/>
      </c>
      <c r="N9" s="33" t="s">
        <v>48</v>
      </c>
      <c r="O9" s="74" t="s">
        <v>0</v>
      </c>
      <c r="R9" s="33" t="s">
        <v>324</v>
      </c>
      <c r="S9" s="74"/>
    </row>
    <row r="10" spans="1:19" ht="42.75" x14ac:dyDescent="0.45">
      <c r="B10" s="156">
        <f t="shared" ref="B10" si="7">IF(L10="JA",1,0)</f>
        <v>0</v>
      </c>
      <c r="C10" s="156" t="str">
        <f>IF(B10=1,SUM($B$4:B10),"Nvt")</f>
        <v>Nvt</v>
      </c>
      <c r="D10" s="79"/>
      <c r="E10" s="33" t="s">
        <v>331</v>
      </c>
      <c r="F10" s="1" t="s">
        <v>332</v>
      </c>
      <c r="G10" s="1" t="s">
        <v>229</v>
      </c>
      <c r="H10" s="23" t="s">
        <v>230</v>
      </c>
      <c r="I10" s="110" t="str">
        <f t="shared" si="0"/>
        <v>Routekaart risicomanagement (Risicobehandeling) (Bron: NCSC)</v>
      </c>
      <c r="J10" s="33" t="str">
        <f t="shared" si="2"/>
        <v>https://www.ncsc.nl/wat-kun-je-zelf-doen/routekaart-risicomanagement/risicobehandeling</v>
      </c>
      <c r="L10" s="133" t="str">
        <f t="shared" ref="L10" si="8">IF(M10="","NEE","JA")</f>
        <v>NEE</v>
      </c>
      <c r="M10" s="154" t="str">
        <f>IF(AND(Strategisch!F9="NEE",Strategisch!R9="ja"),Strategisch!$D$9&amp;", ",)&amp;IF(AND(Strategisch!F10="NEE",Strategisch!R10="ja"),Strategisch!$D$10&amp;", ",)&amp;IF(AND(Strategisch!F11="NEE",Strategisch!R11="ja"),Strategisch!$D$11&amp;", ",)&amp;IF(AND(Strategisch!F12="NEE",Strategisch!R12="ja"),Strategisch!$D$12&amp;", ",)&amp;IF(AND(Strategisch!F13="NEE",Strategisch!R13="ja"),Strategisch!$D$13&amp;", ",)&amp;IF(AND(Strategisch!F14="NEE",Strategisch!R14="ja"),Strategisch!$D$14&amp;", ",)&amp;IF(AND(Strategisch!F15="NEE",Strategisch!R15="ja"),Strategisch!$D$15&amp;", ",)&amp;
IF(OR(AND(Strategisch!F16="NEE",Strategisch!R16="ja"),AND(Strategisch!F18="NEE",Strategisch!R18="ja")),Strategisch!D16&amp;", ","") &amp;IF(AND(Strategisch!F19="NEE",Strategisch!R19="ja"),Strategisch!$D$19&amp;", ",)
&amp;IF(AND(Strategisch!F20="NEE",Strategisch!R20="ja"),Strategisch!$D$20&amp;", ",)
&amp;IF(AND(Strategisch!F21="NEE",Strategisch!R21="ja"),Strategisch!$D$21&amp;", ",)
&amp;IF(AND(Strategisch!F22="NEE",Strategisch!R22="ja"),Strategisch!$D$22&amp;", ",)
&amp;IF(OR(AND(Strategisch!F23="NEE",Strategisch!R23="ja"),AND(Strategisch!F25="NEE",Strategisch!R25="ja"),AND(Strategisch!F26="NEE",Strategisch!R26="ja"),AND(Strategisch!F27="NEE",Strategisch!R27="ja")),"Beleid, ","")
&amp;IF(AND(Strategisch!F24="NEE",Strategisch!R24="ja"),"Beleid - Incident Response, ","")
&amp;IF(OR(AND(Strategisch!F28="NEE",Strategisch!R28="ja"),AND(Strategisch!F29="NEE",Strategisch!R29="ja")),Strategisch!D28&amp;", ","")
&amp;IF(AND(Strategisch!F30="NEE",Strategisch!R30="ja"),Strategisch!$D$30&amp;", ",)
&amp;IF(AND(Strategisch!F31="NEE",Strategisch!R31="ja"),Strategisch!$D$31&amp;", ",)
&amp;IF(OR(AND(Strategisch!F32="NEE",Strategisch!R32="ja"),AND(Strategisch!F33="NEE",Strategisch!R33="ja")),Strategisch!D32&amp;", ","")</f>
        <v/>
      </c>
      <c r="N10" s="33" t="s">
        <v>48</v>
      </c>
      <c r="O10" s="74" t="s">
        <v>0</v>
      </c>
      <c r="R10" s="33" t="s">
        <v>333</v>
      </c>
      <c r="S10" s="74"/>
    </row>
    <row r="11" spans="1:19" x14ac:dyDescent="0.45">
      <c r="B11" s="156">
        <f t="shared" si="5"/>
        <v>0</v>
      </c>
      <c r="C11" s="156" t="str">
        <f>IF(B11=1,SUM($B$4:B11),"Nvt")</f>
        <v>Nvt</v>
      </c>
      <c r="D11" s="79"/>
      <c r="E11" s="33"/>
      <c r="I11" s="110" t="str">
        <f t="shared" si="0"/>
        <v/>
      </c>
      <c r="J11" t="str">
        <f t="shared" si="2"/>
        <v/>
      </c>
      <c r="L11" s="133" t="str">
        <f t="shared" si="6"/>
        <v>NEE</v>
      </c>
      <c r="M11" s="154" t="str">
        <f>IF(AND(Strategisch!F9="NEE",Strategisch!S9="ja"),Strategisch!$D$9&amp;", ",)&amp;IF(AND(Strategisch!F10="NEE",Strategisch!S10="ja"),Strategisch!$D$10&amp;", ",)&amp;IF(AND(Strategisch!F11="NEE",Strategisch!S11="ja"),Strategisch!$D$11&amp;", ",)&amp;IF(AND(Strategisch!F12="NEE",Strategisch!S12="ja"),Strategisch!$D$12&amp;", ",)&amp;IF(AND(Strategisch!F13="NEE",Strategisch!S13="ja"),Strategisch!$D$13&amp;", ",)&amp;IF(AND(Strategisch!F14="NEE",Strategisch!S14="ja"),Strategisch!$D$14&amp;", ",)&amp;IF(AND(Strategisch!F15="NEE",Strategisch!S15="ja"),Strategisch!$D$15&amp;", ",)&amp;
IF(OR(AND(Strategisch!F16="NEE",Strategisch!S16="ja"),AND(Strategisch!F18="NEE",Strategisch!S18="ja")),Strategisch!D16&amp;", ","") &amp;IF(AND(Strategisch!F19="NEE",Strategisch!S19="ja"),Strategisch!$D$19&amp;", ",)
&amp;IF(AND(Strategisch!F20="NEE",Strategisch!S20="ja"),Strategisch!$D$20&amp;", ",)
&amp;IF(AND(Strategisch!F21="NEE",Strategisch!S21="ja"),Strategisch!$D$21&amp;", ",)
&amp;IF(AND(Strategisch!F22="NEE",Strategisch!S22="ja"),Strategisch!$D$22&amp;", ",)
&amp;IF(OR(AND(Strategisch!F23="NEE",Strategisch!S23="ja"),AND(Strategisch!F24="NEE",Strategisch!S24="ja"),AND(Strategisch!F25="NEE",Strategisch!S25="ja"),AND(Strategisch!F26="NEE",Strategisch!S26="ja"),AND(Strategisch!F27="NEE",Strategisch!S27="ja")),"Beleid, ","")
&amp;IF(OR(AND(Strategisch!F28="NEE",Strategisch!S28="ja"),AND(Strategisch!F29="NEE",Strategisch!S29="ja")),Strategisch!D28&amp;", ","")
&amp;IF(AND(Strategisch!F30="NEE",Strategisch!S30="ja"),Strategisch!$D$30&amp;", ",)
&amp;IF(AND(Strategisch!F31="NEE",Strategisch!S31="ja"),Strategisch!$D$31&amp;", ",)
&amp;IF(OR(AND(Strategisch!F32="NEE",Strategisch!S32="ja"),AND(Strategisch!F33="NEE",Strategisch!S33="ja")),Strategisch!D32&amp;", ","")</f>
        <v/>
      </c>
      <c r="N11" s="33"/>
      <c r="O11" s="74" t="s">
        <v>0</v>
      </c>
      <c r="R11" s="28"/>
    </row>
    <row r="12" spans="1:19" x14ac:dyDescent="0.45">
      <c r="B12" s="156">
        <f t="shared" si="1"/>
        <v>0</v>
      </c>
      <c r="C12" s="156" t="str">
        <f>IF(B12=1,SUM($B$4:B12),"Nvt")</f>
        <v>Nvt</v>
      </c>
      <c r="D12" s="79"/>
      <c r="E12" s="33"/>
      <c r="F12" s="1"/>
      <c r="G12" s="1"/>
      <c r="H12" s="23"/>
      <c r="I12" s="110" t="str">
        <f t="shared" si="0"/>
        <v/>
      </c>
      <c r="J12" s="23" t="str">
        <f t="shared" si="2"/>
        <v/>
      </c>
      <c r="L12" s="133" t="str">
        <f t="shared" si="3"/>
        <v>NEE</v>
      </c>
      <c r="M12" s="154" t="str">
        <f>IF(AND(Strategisch!F9="NEE",Strategisch!T9="ja"),Strategisch!$D$9&amp;", ",)&amp;IF(AND(Strategisch!F10="NEE",Strategisch!T10="ja"),Strategisch!$D$10&amp;", ",)&amp;IF(AND(Strategisch!F11="NEE",Strategisch!T11="ja"),Strategisch!$D$11&amp;", ",)&amp;IF(AND(Strategisch!F12="NEE",Strategisch!T12="ja"),Strategisch!$D$12&amp;", ",)&amp;IF(AND(Strategisch!F13="NEE",Strategisch!T13="ja"),Strategisch!$D$13&amp;", ",)&amp;IF(AND(Strategisch!F14="NEE",Strategisch!T14="ja"),Strategisch!$D$14&amp;", ",)&amp;IF(AND(Strategisch!F15="NEE",Strategisch!T15="ja"),Strategisch!$D$15&amp;", ",)&amp;
IF(OR(AND(Strategisch!F16="NEE",Strategisch!T16="ja"),AND(Strategisch!F18="NEE",Strategisch!T18="ja")),Strategisch!D16&amp;", ","") &amp;IF(AND(Strategisch!F19="NEE",Strategisch!T19="ja"),Strategisch!$D$19&amp;", ",)
&amp;IF(AND(Strategisch!F20="NEE",Strategisch!T20="ja"),Strategisch!$D$20&amp;", ",)
&amp;IF(AND(Strategisch!F21="NEE",Strategisch!T21="ja"),Strategisch!$D$21&amp;", ",)
&amp;IF(AND(Strategisch!F22="NEE",Strategisch!T22="ja"),Strategisch!$D$22&amp;", ",)
&amp;IF(OR(AND(Strategisch!F23="NEE",Strategisch!T23="ja"),AND(Strategisch!F24="NEE",Strategisch!T24="ja"),AND(Strategisch!F25="NEE",Strategisch!T25="ja"),AND(Strategisch!F26="NEE",Strategisch!T26="ja"),AND(Strategisch!F27="NEE",Strategisch!T27="ja")),"Beleid, ","")
&amp;IF(OR(AND(Strategisch!F28="NEE",Strategisch!T28="ja"),AND(Strategisch!F29="NEE",Strategisch!T29="ja")),Strategisch!D28&amp;", ","")
&amp;IF(AND(Strategisch!F30="NEE",Strategisch!T30="ja"),Strategisch!$D$30&amp;", ",)
&amp;IF(AND(Strategisch!F31="NEE",Strategisch!T31="ja"),Strategisch!$D$31&amp;", ",)
&amp;IF(OR(AND(Strategisch!F32="NEE",Strategisch!T32="ja"),AND(Strategisch!F33="NEE",Strategisch!T33="ja")),Strategisch!D32&amp;", ","")</f>
        <v/>
      </c>
      <c r="N12" s="33"/>
      <c r="O12" s="74" t="s">
        <v>0</v>
      </c>
      <c r="R12" s="28"/>
    </row>
    <row r="13" spans="1:19" s="126" customFormat="1" x14ac:dyDescent="0.45">
      <c r="B13" s="157">
        <f t="shared" si="1"/>
        <v>0</v>
      </c>
      <c r="C13" s="157" t="str">
        <f>IF(B13=1,SUM($B$4:B13),"Nvt")</f>
        <v>Nvt</v>
      </c>
      <c r="D13" s="127"/>
      <c r="E13" s="128" t="s">
        <v>288</v>
      </c>
      <c r="F13" s="129"/>
      <c r="G13" s="129"/>
      <c r="H13" s="129"/>
      <c r="I13" s="129"/>
      <c r="J13" s="129"/>
      <c r="L13" s="130"/>
      <c r="M13" s="131"/>
      <c r="N13" s="129"/>
      <c r="O13" s="128"/>
    </row>
    <row r="14" spans="1:19" s="104" customFormat="1" x14ac:dyDescent="0.45">
      <c r="B14" s="158">
        <f t="shared" ref="B14" si="9">IF(L14="JA",1,0)</f>
        <v>0</v>
      </c>
      <c r="C14" s="158" t="str">
        <f>IF(B14=1,SUM($B$4:B14),"Nvt")</f>
        <v>Nvt</v>
      </c>
      <c r="D14" s="102"/>
      <c r="E14" s="114" t="s">
        <v>290</v>
      </c>
      <c r="F14" s="115" t="s">
        <v>255</v>
      </c>
      <c r="G14" s="115" t="s">
        <v>225</v>
      </c>
      <c r="H14" s="115" t="s">
        <v>226</v>
      </c>
      <c r="I14" s="115" t="s">
        <v>238</v>
      </c>
      <c r="J14" s="115" t="s">
        <v>227</v>
      </c>
      <c r="K14" s="116"/>
      <c r="L14" s="134" t="s">
        <v>228</v>
      </c>
      <c r="M14" s="135" t="s">
        <v>259</v>
      </c>
      <c r="N14" s="115" t="s">
        <v>260</v>
      </c>
      <c r="O14" s="114" t="s">
        <v>258</v>
      </c>
      <c r="Q14" s="104" t="s">
        <v>352</v>
      </c>
      <c r="R14" s="105" t="s">
        <v>362</v>
      </c>
      <c r="S14" s="105" t="s">
        <v>361</v>
      </c>
    </row>
    <row r="15" spans="1:19" ht="71.25" x14ac:dyDescent="0.45">
      <c r="B15" s="156">
        <f t="shared" si="1"/>
        <v>0</v>
      </c>
      <c r="C15" s="156" t="str">
        <f>IF(B15=1,SUM($B$4:B15),"Nvt")</f>
        <v>Nvt</v>
      </c>
      <c r="D15" s="79"/>
      <c r="E15" s="33" t="s">
        <v>334</v>
      </c>
      <c r="F15" s="33" t="s">
        <v>326</v>
      </c>
      <c r="G15" s="1" t="s">
        <v>330</v>
      </c>
      <c r="H15" s="33" t="s">
        <v>230</v>
      </c>
      <c r="I15" s="110" t="str">
        <f t="shared" ref="I15" si="10">IF(E15="","",E15&amp;" (Bron: "&amp;H15&amp;")")</f>
        <v>Hoe breng ik mijn te beschermen belangen/kroonjuwelen in kaart? (Bron: NCSC)</v>
      </c>
      <c r="J15" s="33" t="str">
        <f t="shared" ref="J15:J20" si="11">R15&amp;S15</f>
        <v>https://www.ncsc.nl/wat-kun-je-zelf-doen/weerbaarheid/herkennen/hoe-breng-ik-mijn-te-beschermen-belangen-in-kaart</v>
      </c>
      <c r="L15" s="133" t="str">
        <f t="shared" si="3"/>
        <v>NEE</v>
      </c>
      <c r="M15" s="154" t="str">
        <f>IF(OR(AND(Tactisch!F10="NEE",Tactisch!L10="ja"),AND(Tactisch!F11="NEE",Tactisch!L11="ja"), AND(Tactisch!F12="NEE",Tactisch!L12="ja")),Tactisch!D10&amp;", ","")
&amp;IF(AND(Tactisch!F13="NEE",Tactisch!L13="ja"),Tactisch!$D$13&amp;", ",)
&amp;IF(AND(Tactisch!F14="NEE",Tactisch!L14="ja"),Tactisch!$D$14&amp;", ",)
&amp;IF(AND(Tactisch!F17="NEE",Tactisch!L17="ja"),Tactisch!$D$17&amp;", ",)
&amp;IF(AND(Tactisch!F18="NEE",Tactisch!L18="ja"),Tactisch!$D$18&amp;", ",)
&amp;IF(AND(Tactisch!F19="NEE",Tactisch!L19="ja"),Tactisch!$D$19&amp;", ",)
&amp;IF(AND(Tactisch!F20="NEE",Tactisch!L20="ja"),Tactisch!$D$20&amp;", ",)
&amp;IF(AND(Tactisch!F21="NEE",Tactisch!L21="ja"),Tactisch!$D$21&amp;", ",)
&amp;IF(OR(AND(Tactisch!F22="NEE",Tactisch!L22="ja"),AND(Tactisch!F23="NEE",Tactisch!L23="ja")),Tactisch!D22&amp;", ","")
&amp;IF(AND(Tactisch!F24="NEE",Tactisch!L24="ja"),Tactisch!$D$24&amp;", ",)
&amp;IF(AND(Tactisch!F25="NEE",Tactisch!L25="ja"),Tactisch!$D$25&amp;", ",)
&amp;IF(AND(Tactisch!F26="NEE",Tactisch!L26="ja"),Tactisch!$D$26&amp;", ",)
&amp;IF(AND(Tactisch!F27="NEE",Tactisch!L27="ja"),Tactisch!$D$27&amp;", ",)
&amp;IF(AND(Tactisch!F28="NEE",Tactisch!L28="ja"),Tactisch!$D$28&amp;", ",)
&amp;IF(OR(AND(Tactisch!F29="NEE",Tactisch!L29="ja"),AND(Tactisch!F30="NEE",Tactisch!L30="ja")),Tactisch!D29&amp;", ","")
&amp;IF(AND(Tactisch!F31="NEE",Tactisch!L31="ja"),Tactisch!$D$31&amp;", ",)
&amp;IF(AND(Tactisch!F32="NEE",Tactisch!L32="ja"),Tactisch!$D$32&amp;", ",)
&amp;IF(AND(Tactisch!F33="NEE",Tactisch!L33="ja"),Tactisch!$D$33&amp;", ",)
&amp;IF(AND(Tactisch!F34="NEE",Tactisch!L34="ja"),Tactisch!$D$34&amp;", ",)
&amp;IF(OR(AND(Tactisch!F35="NEE",Tactisch!L35="ja"),AND(Tactisch!F36="NEE",Tactisch!L36="ja")),Tactisch!D35&amp;", ","")
&amp;IF(OR(AND(Tactisch!F37="NEE",Tactisch!L37="ja"),AND(Tactisch!F38="NEE",Tactisch!L38="ja"), AND(Tactisch!F39="NEE",Tactisch!L39="ja"),AND(Tactisch!F40="NEE",Tactisch!L40="ja")),Tactisch!D37&amp;", ","")
&amp;IF(OR(AND(Tactisch!F41="NEE",Tactisch!L41="ja"),AND(Tactisch!F42="NEE",Tactisch!L42="ja")),Tactisch!D41&amp;", ","")
&amp;IF(OR(AND(Tactisch!F43="NEE",Tactisch!L43="ja"),AND(Tactisch!F44="NEE",Tactisch!L44="ja")),Tactisch!D43&amp;", ","")
&amp;IF(AND(Tactisch!F46="NEE",Tactisch!L46="ja"),Tactisch!$D$46&amp;", ",)
&amp;IF(AND(Tactisch!F50="NEE",Tactisch!L50="ja"),Tactisch!$D$50&amp;", ",)
&amp;IF(AND(Tactisch!F51="NEE",Tactisch!L51="ja"),Tactisch!$D$51&amp;", ",)
&amp;IF(AND(Tactisch!F52="NEE",Tactisch!L52="ja"),Tactisch!$D$52&amp;", ",)
&amp;IF(AND(Tactisch!F53="NEE",Tactisch!L53="ja"),Tactisch!$D$53&amp;", ",)
&amp;IF(AND(Tactisch!F54="NEE",Tactisch!L54="ja"),Tactisch!$D$54&amp;", ",)
&amp;IF(AND(Tactisch!F55="NEE",Tactisch!L55="ja"),Tactisch!$D$55&amp;", ",)
&amp;IF(AND(Tactisch!F56="NEE",Tactisch!L56="ja"),Tactisch!$D$56&amp;", ",)
&amp;IF(AND(Tactisch!F57="NEE",Tactisch!L57="ja"),Tactisch!$D$57&amp;", ",)
&amp;IF(AND(Tactisch!F58="NEE",Tactisch!L58="ja"),Tactisch!$D$58&amp;", ",)
&amp;IF(AND(Tactisch!F59="NEE",Tactisch!L59="ja"),Tactisch!$D$59&amp;", ",)
&amp;IF(AND(Tactisch!F60="NEE",Tactisch!L60="ja"),Tactisch!$D$60&amp;", ",)</f>
        <v/>
      </c>
      <c r="N15" s="33" t="s">
        <v>53</v>
      </c>
      <c r="O15" s="74" t="s">
        <v>1</v>
      </c>
      <c r="Q15" s="28" t="s">
        <v>353</v>
      </c>
      <c r="R15" s="33" t="s">
        <v>324</v>
      </c>
      <c r="S15" s="74"/>
    </row>
    <row r="16" spans="1:19" ht="71.25" x14ac:dyDescent="0.45">
      <c r="B16" s="156">
        <f t="shared" si="1"/>
        <v>0</v>
      </c>
      <c r="C16" s="156" t="str">
        <f>IF(B16=1,SUM($B$4:B16),"Nvt")</f>
        <v>Nvt</v>
      </c>
      <c r="D16" s="79"/>
      <c r="E16" s="33" t="s">
        <v>374</v>
      </c>
      <c r="F16" s="33" t="s">
        <v>338</v>
      </c>
      <c r="G16" s="33" t="s">
        <v>268</v>
      </c>
      <c r="H16" s="33" t="s">
        <v>194</v>
      </c>
      <c r="I16" s="110" t="str">
        <f t="shared" ref="I16:I43" si="12">IF(E16="","",E16&amp;" (Bron: "&amp;H16&amp;")")</f>
        <v>SOC Operational Readiness (Organisatie &amp; Proces) (Bron: VSSR)</v>
      </c>
      <c r="J16" s="33" t="str">
        <f t="shared" si="11"/>
        <v>https://www.ncsc.nl/soc/het-vertrekpunt-voor-een-soc#:~:text=Operational%20Readiness%20(Organisatie%20%26%20Proces)</v>
      </c>
      <c r="L16" s="133" t="str">
        <f t="shared" si="3"/>
        <v>NEE</v>
      </c>
      <c r="M16" s="154" t="str">
        <f>IF(OR(AND(Tactisch!F10="NEE",Tactisch!M10="ja"),AND(Tactisch!F11="NEE",Tactisch!M11="ja"), AND(Tactisch!F12="NEE",Tactisch!M12="ja")),Tactisch!D10&amp;", ","")
&amp;IF(AND(Tactisch!F13="NEE",Tactisch!M13="ja"),Tactisch!$D$13&amp;", ",)
&amp;IF(AND(Tactisch!F14="NEE",Tactisch!M14="ja"),Tactisch!$D$14&amp;", ",)
&amp;IF(AND(Tactisch!F17="NEE",Tactisch!M17="ja"),Tactisch!$D$17&amp;", ",)
&amp;IF(AND(Tactisch!F18="NEE",Tactisch!M18="ja"),Tactisch!$D$18&amp;", ",)
&amp;IF(AND(Tactisch!F19="NEE",Tactisch!M19="ja"),Tactisch!$D$19&amp;", ",)
&amp;IF(AND(Tactisch!F20="NEE",Tactisch!M20="ja"),Tactisch!$D$20&amp;", ",)
&amp;IF(AND(Tactisch!F21="NEE",Tactisch!M21="ja"),Tactisch!$D$21&amp;", ",)
&amp;IF(OR(AND(Tactisch!F22="NEE",Tactisch!M22="ja"),AND(Tactisch!F23="NEE",Tactisch!M23="ja")),Tactisch!D22&amp;", ","")
&amp;IF(AND(Tactisch!F24="NEE",Tactisch!M24="ja"),Tactisch!$D$24&amp;", ",)
&amp;IF(AND(Tactisch!F25="NEE",Tactisch!M25="ja"),Tactisch!$D$25&amp;", ",)
&amp;IF(AND(Tactisch!F26="NEE",Tactisch!M26="ja"),Tactisch!$D$26&amp;", ",)
&amp;IF(AND(Tactisch!F27="NEE",Tactisch!M27="ja"),Tactisch!$D$27&amp;", ",)
&amp;IF(AND(Tactisch!F28="NEE",Tactisch!M28="ja"),Tactisch!$D$28&amp;", ",)
&amp;IF(OR(AND(Tactisch!F29="NEE",Tactisch!M29="ja"),AND(Tactisch!F30="NEE",Tactisch!M30="ja")),Tactisch!D29&amp;", ","")
&amp;IF(AND(Tactisch!F31="NEE",Tactisch!M31="ja"),Tactisch!$D$31&amp;", ",)
&amp;IF(AND(Tactisch!F32="NEE",Tactisch!M32="ja"),Tactisch!$D$32&amp;", ",)
&amp;IF(AND(Tactisch!F33="NEE",Tactisch!M33="ja"),Tactisch!$D$33&amp;", ",)
&amp;IF(AND(Tactisch!F34="NEE",Tactisch!M34="ja"),Tactisch!$D$34&amp;", ",)
&amp;IF(OR(AND(Tactisch!F35="NEE",Tactisch!M35="ja"),AND(Tactisch!F36="NEE",Tactisch!M36="ja")),Tactisch!D35&amp;", ","")
&amp;IF(OR(AND(Tactisch!F37="NEE",Tactisch!M37="ja"),AND(Tactisch!F38="NEE",Tactisch!M38="ja"), AND(Tactisch!F39="NEE",Tactisch!M39="ja"),AND(Tactisch!F40="NEE",Tactisch!M40="ja")),Tactisch!D37&amp;", ","")
&amp;IF(OR(AND(Tactisch!F41="NEE",Tactisch!M41="ja"),AND(Tactisch!F42="NEE",Tactisch!M42="ja")),Tactisch!D41&amp;", ","")
&amp;IF(OR(AND(Tactisch!F43="NEE",Tactisch!M43="ja"),AND(Tactisch!F44="NEE",Tactisch!M44="ja")),Tactisch!D43&amp;", ","")
&amp;IF(AND(Tactisch!F46="NEE",Tactisch!M46="ja"),Tactisch!$D$46&amp;", ",)
&amp;IF(AND(Tactisch!F50="NEE",Tactisch!M50="ja"),Tactisch!$D$50&amp;", ",)
&amp;IF(AND(Tactisch!F51="NEE",Tactisch!M51="ja"),Tactisch!$D$51&amp;", ",)
&amp;IF(AND(Tactisch!F52="NEE",Tactisch!M52="ja"),Tactisch!$D$52&amp;", ",)
&amp;IF(AND(Tactisch!F53="NEE",Tactisch!M53="ja"),Tactisch!$D$53&amp;", ",)
&amp;IF(AND(Tactisch!F54="NEE",Tactisch!M54="ja"),Tactisch!$D$54&amp;", ",)
&amp;IF(AND(Tactisch!F55="NEE",Tactisch!M55="ja"),Tactisch!$D$55&amp;", ",)
&amp;IF(AND(Tactisch!F56="NEE",Tactisch!M56="ja"),Tactisch!$D$56&amp;", ",)
&amp;IF(AND(Tactisch!F57="NEE",Tactisch!M57="ja"),Tactisch!$D$57&amp;", ",)
&amp;IF(AND(Tactisch!F58="NEE",Tactisch!M58="ja"),Tactisch!$D$58&amp;", ",)
&amp;IF(AND(Tactisch!F59="NEE",Tactisch!M59="ja"),Tactisch!$D$59&amp;", ",)
&amp;IF(AND(Tactisch!F60="NEE",Tactisch!M60="ja"),Tactisch!$D$60&amp;", ",)</f>
        <v/>
      </c>
      <c r="N16" s="33" t="s">
        <v>53</v>
      </c>
      <c r="O16" s="74" t="s">
        <v>1</v>
      </c>
      <c r="Q16" s="166" t="str">
        <f>$Q$15</f>
        <v>Let op: Er zijn meer handvatten beschikbaar dan weergegeven. Advies is om eerste invulling te geven aan de nu weergegeven onderwerpen.</v>
      </c>
      <c r="R16" s="33" t="str">
        <f>$R$4</f>
        <v>https://www.ncsc.nl/soc/het-vertrekpunt-voor-een-soc#:~:text=</v>
      </c>
      <c r="S16" s="74" t="s">
        <v>372</v>
      </c>
    </row>
    <row r="17" spans="2:19" ht="71.25" x14ac:dyDescent="0.45">
      <c r="B17" s="156">
        <f t="shared" si="1"/>
        <v>0</v>
      </c>
      <c r="C17" s="156" t="str">
        <f>IF(B17=1,SUM($B$4:B17),"Nvt")</f>
        <v>Nvt</v>
      </c>
      <c r="D17" s="79"/>
      <c r="E17" s="33" t="s">
        <v>375</v>
      </c>
      <c r="F17" s="33" t="s">
        <v>341</v>
      </c>
      <c r="G17" s="33" t="s">
        <v>342</v>
      </c>
      <c r="H17" s="33" t="s">
        <v>194</v>
      </c>
      <c r="I17" s="110" t="str">
        <f t="shared" si="12"/>
        <v>SOC Operational Readiness (Configuratie &amp; Logging) (Bron: VSSR)</v>
      </c>
      <c r="J17" s="33" t="str">
        <f t="shared" si="11"/>
        <v>https://www.ncsc.nl/soc/het-vertrekpunt-voor-een-soc#:~:text=Operational%20Readiness%20(Configuratie%20%26%20Logging)</v>
      </c>
      <c r="L17" s="133" t="str">
        <f t="shared" si="3"/>
        <v>NEE</v>
      </c>
      <c r="M17" s="154" t="str">
        <f>IF(OR(AND(Tactisch!F10="NEE",Tactisch!N10="ja"),AND(Tactisch!F11="NEE",Tactisch!N11="ja"), AND(Tactisch!F12="NEE",Tactisch!N12="ja")),Tactisch!D10&amp;", ","")
&amp;IF(AND(Tactisch!F13="NEE",Tactisch!N13="ja"),Tactisch!$D$13&amp;", ",)
&amp;IF(AND(Tactisch!F14="NEE",Tactisch!N14="ja"),Tactisch!$D$14&amp;", ",)
&amp;IF(AND(Tactisch!F17="NEE",Tactisch!N17="ja"),Tactisch!$D$17&amp;", ",)
&amp;IF(AND(Tactisch!F18="NEE",Tactisch!N18="ja"),Tactisch!$D$18&amp;", ",)
&amp;IF(AND(Tactisch!F19="NEE",Tactisch!N19="ja"),Tactisch!$D$19&amp;", ",)
&amp;IF(AND(Tactisch!F20="NEE",Tactisch!N20="ja"),Tactisch!$D$20&amp;", ",)
&amp;IF(AND(Tactisch!F21="NEE",Tactisch!N21="ja"),Tactisch!$D$21&amp;", ",)
&amp;IF(OR(AND(Tactisch!F22="NEE",Tactisch!N22="ja"),AND(Tactisch!F23="NEE",Tactisch!N23="ja")),Tactisch!D22&amp;", ","")
&amp;IF(AND(Tactisch!F24="NEE",Tactisch!N24="ja"),Tactisch!$D$24&amp;", ",)
&amp;IF(AND(Tactisch!F25="NEE",Tactisch!N25="ja"),Tactisch!$D$25&amp;", ",)
&amp;IF(AND(Tactisch!F26="NEE",Tactisch!N26="ja"),Tactisch!$D$26&amp;", ",)
&amp;IF(AND(Tactisch!F27="NEE",Tactisch!N27="ja"),Tactisch!$D$27&amp;", ",)
&amp;IF(AND(Tactisch!F28="NEE",Tactisch!N28="ja"),Tactisch!$D$28&amp;", ",)
&amp;IF(OR(AND(Tactisch!F29="NEE",Tactisch!N29="ja"),AND(Tactisch!F30="NEE",Tactisch!N30="ja")),Tactisch!D29&amp;", ","")
&amp;IF(AND(Tactisch!F31="NEE",Tactisch!N31="ja"),Tactisch!$D$31&amp;", ",)
&amp;IF(AND(Tactisch!F32="NEE",Tactisch!N32="ja"),Tactisch!$D$32&amp;", ",)
&amp;IF(AND(Tactisch!F33="NEE",Tactisch!N33="ja"),Tactisch!$D$33&amp;", ",)
&amp;IF(AND(Tactisch!F34="NEE",Tactisch!N34="ja"),Tactisch!$D$34&amp;", ",)
&amp;IF(OR(AND(Tactisch!F35="NEE",Tactisch!N35="ja"),AND(Tactisch!F36="NEE",Tactisch!N36="ja")),Tactisch!D35&amp;", ","")
&amp;IF(OR(AND(Tactisch!F37="NEE",Tactisch!N37="ja"),AND(Tactisch!F38="NEE",Tactisch!N38="ja"), AND(Tactisch!F39="NEE",Tactisch!N39="ja"),AND(Tactisch!F40="NEE",Tactisch!N40="ja")),Tactisch!D37&amp;", ","")
&amp;IF(OR(AND(Tactisch!F41="NEE",Tactisch!N41="ja"),AND(Tactisch!F42="NEE",Tactisch!N42="ja")),Tactisch!D41&amp;", ","")
&amp;IF(OR(AND(Tactisch!F43="NEE",Tactisch!N43="ja"),AND(Tactisch!F44="NEE",Tactisch!N44="ja")),Tactisch!D43&amp;", ","")
&amp;IF(AND(Tactisch!F46="NEE",Tactisch!N46="ja"),Tactisch!$D$46&amp;", ",)
&amp;IF(AND(Tactisch!F50="NEE",Tactisch!N50="ja"),Tactisch!$D$50&amp;", ",)
&amp;IF(AND(Tactisch!F51="NEE",Tactisch!N51="ja"),Tactisch!$D$51&amp;", ",)
&amp;IF(AND(Tactisch!F52="NEE",Tactisch!N52="ja"),Tactisch!$D$52&amp;", ",)
&amp;IF(AND(Tactisch!F53="NEE",Tactisch!N53="ja"),Tactisch!$D$53&amp;", ",)
&amp;IF(AND(Tactisch!F54="NEE",Tactisch!N54="ja"),Tactisch!$D$54&amp;", ",)
&amp;IF(AND(Tactisch!F55="NEE",Tactisch!N55="ja"),Tactisch!$D$55&amp;", ",)
&amp;IF(AND(Tactisch!F56="NEE",Tactisch!N56="ja"),Tactisch!$D$56&amp;", ",)
&amp;IF(AND(Tactisch!F57="NEE",Tactisch!N57="ja"),Tactisch!$D$57&amp;", ",)
&amp;IF(AND(Tactisch!F58="NEE",Tactisch!N58="ja"),Tactisch!$D$58&amp;", ",)
&amp;IF(AND(Tactisch!F59="NEE",Tactisch!N59="ja"),Tactisch!$D$59&amp;", ",)
&amp;IF(AND(Tactisch!F60="NEE",Tactisch!N60="ja"),Tactisch!$D$60&amp;", ",)</f>
        <v/>
      </c>
      <c r="N17" s="33" t="s">
        <v>53</v>
      </c>
      <c r="O17" s="74" t="s">
        <v>1</v>
      </c>
      <c r="Q17" s="166" t="str">
        <f t="shared" ref="Q17:Q43" si="13">$Q$15</f>
        <v>Let op: Er zijn meer handvatten beschikbaar dan weergegeven. Advies is om eerste invulling te geven aan de nu weergegeven onderwerpen.</v>
      </c>
      <c r="R17" s="33" t="str">
        <f t="shared" ref="R17:R20" si="14">$R$4</f>
        <v>https://www.ncsc.nl/soc/het-vertrekpunt-voor-een-soc#:~:text=</v>
      </c>
      <c r="S17" s="74" t="s">
        <v>376</v>
      </c>
    </row>
    <row r="18" spans="2:19" ht="71.25" x14ac:dyDescent="0.45">
      <c r="B18" s="156">
        <f t="shared" si="1"/>
        <v>0</v>
      </c>
      <c r="C18" s="156" t="str">
        <f>IF(B18=1,SUM($B$4:B18),"Nvt")</f>
        <v>Nvt</v>
      </c>
      <c r="D18" s="79"/>
      <c r="E18" s="33" t="s">
        <v>377</v>
      </c>
      <c r="F18" s="33" t="s">
        <v>343</v>
      </c>
      <c r="G18" s="33" t="s">
        <v>342</v>
      </c>
      <c r="H18" s="33" t="s">
        <v>194</v>
      </c>
      <c r="I18" s="110" t="str">
        <f t="shared" si="12"/>
        <v>Voorbereiden op Incident Response, onderdeel van Incident Response Readiness (Bron: VSSR)</v>
      </c>
      <c r="J18" s="33" t="str">
        <f t="shared" si="11"/>
        <v>https://www.ncsc.nl/soc/het-vertrekpunt-voor-een-soc#:~:text=Incident%20Response%20Readiness</v>
      </c>
      <c r="L18" s="133" t="str">
        <f t="shared" si="3"/>
        <v>NEE</v>
      </c>
      <c r="M18" s="154" t="str">
        <f>IF(OR(AND(Tactisch!F10="NEE",Tactisch!O10="ja"),AND(Tactisch!F11="NEE",Tactisch!O11="ja"), AND(Tactisch!F12="NEE",Tactisch!O12="ja")),Tactisch!D10&amp;", ","")
&amp;IF(AND(Tactisch!F13="NEE",Tactisch!O13="ja"),Tactisch!$D$13&amp;", ",)
&amp;IF(AND(Tactisch!F14="NEE",Tactisch!O14="ja"),Tactisch!$D$14&amp;", ",)
&amp;IF(AND(Tactisch!F17="NEE",Tactisch!O17="ja"),Tactisch!$D$17&amp;", ",)
&amp;IF(AND(Tactisch!F18="NEE",Tactisch!O18="ja"),Tactisch!$D$18&amp;", ",)
&amp;IF(AND(Tactisch!F19="NEE",Tactisch!O19="ja"),Tactisch!$D$19&amp;", ",)
&amp;IF(AND(Tactisch!F20="NEE",Tactisch!O20="ja"),Tactisch!$D$20&amp;", ",)
&amp;IF(AND(Tactisch!F21="NEE",Tactisch!O21="ja"),Tactisch!$D$21&amp;", ",)
&amp;IF(OR(AND(Tactisch!F22="NEE",Tactisch!O22="ja"),AND(Tactisch!F23="NEE",Tactisch!O23="ja")),Tactisch!D22&amp;", ","")
&amp;IF(AND(Tactisch!F24="NEE",Tactisch!O24="ja"),Tactisch!$D$24&amp;", ",)
&amp;IF(AND(Tactisch!F25="NEE",Tactisch!O25="ja"),Tactisch!$D$25&amp;", ",)
&amp;IF(AND(Tactisch!F26="NEE",Tactisch!O26="ja"),Tactisch!$D$26&amp;", ",)
&amp;IF(AND(Tactisch!F27="NEE",Tactisch!O27="ja"),Tactisch!$D$27&amp;", ",)
&amp;IF(AND(Tactisch!F28="NEE",Tactisch!O28="ja"),Tactisch!$D$28&amp;", ",)
&amp;IF(OR(AND(Tactisch!F29="NEE",Tactisch!O29="ja"),AND(Tactisch!F30="NEE",Tactisch!O30="ja")),Tactisch!D29&amp;", ","")
&amp;IF(AND(Tactisch!F31="NEE",Tactisch!O31="ja"),Tactisch!$D$31&amp;", ",)
&amp;IF(AND(Tactisch!F32="NEE",Tactisch!O32="ja"),Tactisch!$D$32&amp;", ",)
&amp;IF(AND(Tactisch!F33="NEE",Tactisch!O33="ja"),Tactisch!$D$33&amp;", ",)
&amp;IF(AND(Tactisch!F34="NEE",Tactisch!O34="ja"),Tactisch!$D$34&amp;", ",)
&amp;IF(OR(AND(Tactisch!F35="NEE",Tactisch!O35="ja"),AND(Tactisch!F36="NEE",Tactisch!O36="ja")),Tactisch!D35&amp;", ","")
&amp;IF(OR(AND(Tactisch!F37="NEE",Tactisch!O37="ja"),AND(Tactisch!F38="NEE",Tactisch!O38="ja"), AND(Tactisch!F39="NEE",Tactisch!O39="ja"),AND(Tactisch!F40="NEE",Tactisch!O40="ja")),Tactisch!D37&amp;", ","")
&amp;IF(OR(AND(Tactisch!F41="NEE",Tactisch!O41="ja"),AND(Tactisch!F42="NEE",Tactisch!O42="ja")),Tactisch!D41&amp;", ","")
&amp;IF(OR(AND(Tactisch!F43="NEE",Tactisch!O43="ja"),AND(Tactisch!F44="NEE",Tactisch!O44="ja")),Tactisch!D43&amp;", ","")
&amp;IF(AND(Tactisch!F46="NEE",Tactisch!O46="ja"),Tactisch!$D$46&amp;", ",)
&amp;IF(AND(Tactisch!F50="NEE",Tactisch!O50="ja"),Tactisch!$D$50&amp;", ",)
&amp;IF(AND(Tactisch!F51="NEE",Tactisch!O51="ja"),Tactisch!$D$51&amp;", ",)
&amp;IF(AND(Tactisch!F52="NEE",Tactisch!O52="ja"),Tactisch!$D$52&amp;", ",)
&amp;IF(AND(Tactisch!F53="NEE",Tactisch!O53="ja"),Tactisch!$D$53&amp;", ",)
&amp;IF(AND(Tactisch!F54="NEE",Tactisch!O54="ja"),Tactisch!$D$54&amp;", ",)
&amp;IF(AND(Tactisch!F55="NEE",Tactisch!O55="ja"),Tactisch!$D$55&amp;", ",)
&amp;IF(AND(Tactisch!F56="NEE",Tactisch!O56="ja"),Tactisch!$D$56&amp;", ",)
&amp;IF(AND(Tactisch!F57="NEE",Tactisch!O57="ja"),Tactisch!$D$57&amp;", ",)
&amp;IF(AND(Tactisch!F58="NEE",Tactisch!O58="ja"),Tactisch!$D$58&amp;", ",)
&amp;IF(AND(Tactisch!F59="NEE",Tactisch!O59="ja"),Tactisch!$D$59&amp;", ",)
&amp;IF(AND(Tactisch!F60="NEE",Tactisch!O60="ja"),Tactisch!$D$60&amp;", ",)</f>
        <v/>
      </c>
      <c r="N18" s="33" t="s">
        <v>350</v>
      </c>
      <c r="O18" s="74" t="s">
        <v>1</v>
      </c>
      <c r="Q18" s="166" t="str">
        <f t="shared" si="13"/>
        <v>Let op: Er zijn meer handvatten beschikbaar dan weergegeven. Advies is om eerste invulling te geven aan de nu weergegeven onderwerpen.</v>
      </c>
      <c r="R18" s="33" t="str">
        <f t="shared" si="14"/>
        <v>https://www.ncsc.nl/soc/het-vertrekpunt-voor-een-soc#:~:text=</v>
      </c>
      <c r="S18" s="74" t="s">
        <v>360</v>
      </c>
    </row>
    <row r="19" spans="2:19" ht="71.25" x14ac:dyDescent="0.45">
      <c r="B19" s="156">
        <f t="shared" si="1"/>
        <v>0</v>
      </c>
      <c r="C19" s="156" t="str">
        <f>IF(B19=1,SUM($B$4:B19),"Nvt")</f>
        <v>Nvt</v>
      </c>
      <c r="D19" s="79"/>
      <c r="E19" s="33" t="s">
        <v>378</v>
      </c>
      <c r="F19" s="33" t="s">
        <v>354</v>
      </c>
      <c r="G19" s="33" t="s">
        <v>355</v>
      </c>
      <c r="H19" s="33" t="s">
        <v>194</v>
      </c>
      <c r="I19" s="110" t="str">
        <f t="shared" si="12"/>
        <v>Opstellen en/of controleren van een eigen Cyber Incident Response Plan (CIRP) (Bron: VSSR)</v>
      </c>
      <c r="J19" s="33" t="str">
        <f t="shared" si="11"/>
        <v>https://www.ncsc.nl/soc/het-vertrekpunt-voor-een-soc#:~:text=Incident%20Response%20Readiness</v>
      </c>
      <c r="L19" s="133" t="str">
        <f t="shared" si="3"/>
        <v>NEE</v>
      </c>
      <c r="M19" s="154" t="str">
        <f>IF(OR(AND(Tactisch!F10="NEE",Tactisch!P10="ja"),AND(Tactisch!F11="NEE",Tactisch!P11="ja"), AND(Tactisch!F12="NEE",Tactisch!P12="ja")),Tactisch!D10&amp;", ","")
&amp;IF(AND(Tactisch!F13="NEE",Tactisch!P13="ja"),Tactisch!$D$13&amp;", ",)
&amp;IF(AND(Tactisch!F14="NEE",Tactisch!P14="ja"),Tactisch!$D$14&amp;", ",)
&amp;IF(AND(Tactisch!F17="NEE",Tactisch!P17="ja"),Tactisch!$D$17&amp;", ",)
&amp;IF(AND(Tactisch!F18="NEE",Tactisch!P18="ja"),Tactisch!$D$18&amp;", ",)
&amp;IF(AND(Tactisch!F19="NEE",Tactisch!P19="ja"),Tactisch!$D$19&amp;", ",)
&amp;IF(AND(Tactisch!F20="NEE",Tactisch!P20="ja"),Tactisch!$D$20&amp;", ",)
&amp;IF(AND(Tactisch!F21="NEE",Tactisch!P21="ja"),Tactisch!$D$21&amp;", ",)
&amp;IF(OR(AND(Tactisch!F22="NEE",Tactisch!P22="ja"),AND(Tactisch!F23="NEE",Tactisch!P23="ja")),Tactisch!D22&amp;", ","")
&amp;IF(AND(Tactisch!F24="NEE",Tactisch!P24="ja"),Tactisch!$D$24&amp;", ",)
&amp;IF(AND(Tactisch!F25="NEE",Tactisch!P25="ja"),Tactisch!$D$25&amp;", ",)
&amp;IF(AND(Tactisch!F26="NEE",Tactisch!P26="ja"),Tactisch!$D$26&amp;", ",)
&amp;IF(AND(Tactisch!F27="NEE",Tactisch!P27="ja"),Tactisch!$D$27&amp;", ",)
&amp;IF(AND(Tactisch!F28="NEE",Tactisch!P28="ja"),Tactisch!$D$28&amp;", ",)
&amp;IF(OR(AND(Tactisch!F29="NEE",Tactisch!P29="ja"),AND(Tactisch!F30="NEE",Tactisch!P30="ja")),Tactisch!D29&amp;", ","")
&amp;IF(AND(Tactisch!F31="NEE",Tactisch!P31="ja"),Tactisch!$D$31&amp;", ",)
&amp;IF(AND(Tactisch!F32="NEE",Tactisch!P32="ja"),Tactisch!$D$32&amp;", ",)
&amp;IF(AND(Tactisch!F33="NEE",Tactisch!P33="ja"),Tactisch!$D$33&amp;", ",)
&amp;IF(AND(Tactisch!F34="NEE",Tactisch!P34="ja"),Tactisch!$D$34&amp;", ",)
&amp;IF(OR(AND(Tactisch!F35="NEE",Tactisch!P35="ja"),AND(Tactisch!F36="NEE",Tactisch!P36="ja")),Tactisch!D35&amp;", ","")
&amp;IF(OR(AND(Tactisch!F37="NEE",Tactisch!P37="ja"),AND(Tactisch!F38="NEE",Tactisch!P38="ja"), AND(Tactisch!F39="NEE",Tactisch!P39="ja"),AND(Tactisch!F40="NEE",Tactisch!P40="ja")),Tactisch!D37&amp;", ","")
&amp;IF(OR(AND(Tactisch!F41="NEE",Tactisch!P41="ja"),AND(Tactisch!F42="NEE",Tactisch!P42="ja")),Tactisch!D41&amp;", ","")
&amp;IF(OR(AND(Tactisch!F43="NEE",Tactisch!P43="ja"),AND(Tactisch!F44="NEE",Tactisch!P44="ja")),Tactisch!D43&amp;", ","")
&amp;IF(AND(Tactisch!F46="NEE",Tactisch!P46="ja"),Tactisch!$D$46&amp;", ",)
&amp;IF(AND(Tactisch!F50="NEE",Tactisch!P50="ja"),Tactisch!$D$50&amp;", ",)
&amp;IF(AND(Tactisch!F51="NEE",Tactisch!P51="ja"),Tactisch!$D$51&amp;", ",)
&amp;IF(AND(Tactisch!F52="NEE",Tactisch!P52="ja"),Tactisch!$D$52&amp;", ",)
&amp;IF(AND(Tactisch!F53="NEE",Tactisch!P53="ja"),Tactisch!$D$53&amp;", ",)
&amp;IF(AND(Tactisch!F54="NEE",Tactisch!P54="ja"),Tactisch!$D$54&amp;", ",)
&amp;IF(AND(Tactisch!F55="NEE",Tactisch!P55="ja"),Tactisch!$D$55&amp;", ",)
&amp;IF(AND(Tactisch!F56="NEE",Tactisch!P56="ja"),Tactisch!$D$56&amp;", ",)
&amp;IF(AND(Tactisch!F57="NEE",Tactisch!P57="ja"),Tactisch!$D$57&amp;", ",)
&amp;IF(AND(Tactisch!F58="NEE",Tactisch!P58="ja"),Tactisch!$D$58&amp;", ",)
&amp;IF(AND(Tactisch!F59="NEE",Tactisch!P59="ja"),Tactisch!$D$59&amp;", ",)
&amp;IF(AND(Tactisch!F60="NEE",Tactisch!P60="ja"),Tactisch!$D$60&amp;", ",)</f>
        <v/>
      </c>
      <c r="N19" s="33" t="s">
        <v>350</v>
      </c>
      <c r="O19" s="74" t="s">
        <v>1</v>
      </c>
      <c r="Q19" s="166" t="str">
        <f t="shared" si="13"/>
        <v>Let op: Er zijn meer handvatten beschikbaar dan weergegeven. Advies is om eerste invulling te geven aan de nu weergegeven onderwerpen.</v>
      </c>
      <c r="R19" s="33" t="str">
        <f t="shared" si="14"/>
        <v>https://www.ncsc.nl/soc/het-vertrekpunt-voor-een-soc#:~:text=</v>
      </c>
      <c r="S19" s="74" t="s">
        <v>360</v>
      </c>
    </row>
    <row r="20" spans="2:19" ht="71.25" x14ac:dyDescent="0.45">
      <c r="B20" s="156">
        <f t="shared" si="1"/>
        <v>0</v>
      </c>
      <c r="C20" s="156" t="str">
        <f>IF(B20=1,SUM($B$4:B20),"Nvt")</f>
        <v>Nvt</v>
      </c>
      <c r="D20" s="79"/>
      <c r="E20" s="33" t="s">
        <v>345</v>
      </c>
      <c r="F20" s="33" t="s">
        <v>344</v>
      </c>
      <c r="G20" s="33" t="s">
        <v>342</v>
      </c>
      <c r="H20" s="33" t="s">
        <v>194</v>
      </c>
      <c r="I20" s="110" t="str">
        <f t="shared" si="12"/>
        <v>Handvatten voor het aanbesteden van monitoring- en detectiediensten (HAVIK) (Bron: VSSR)</v>
      </c>
      <c r="J20" s="33" t="str">
        <f t="shared" si="11"/>
        <v>https://www.ncsc.nl/soc/het-vertrekpunt-voor-een-soc#:~:text=HAVIK</v>
      </c>
      <c r="L20" s="133" t="str">
        <f t="shared" si="3"/>
        <v>NEE</v>
      </c>
      <c r="M20" s="154" t="str">
        <f>IF(OR(AND(Tactisch!F10="NEE",Tactisch!Q10="ja"),AND(Tactisch!F11="NEE",Tactisch!Q11="ja"), AND(Tactisch!F12="NEE",Tactisch!Q12="ja")),Tactisch!D10&amp;", ","")
&amp;IF(AND(Tactisch!F13="NEE",Tactisch!Q13="ja"),Tactisch!$D$13&amp;", ",)
&amp;IF(AND(Tactisch!F14="NEE",Tactisch!Q14="ja"),Tactisch!$D$14&amp;", ",)
&amp;IF(AND(Tactisch!F17="NEE",Tactisch!Q17="ja"),Tactisch!$D$17&amp;", ",)
&amp;IF(AND(Tactisch!F18="NEE",Tactisch!Q18="ja"),Tactisch!$D$18&amp;", ",)
&amp;IF(AND(Tactisch!F19="NEE",Tactisch!Q19="ja"),Tactisch!$D$19&amp;", ",)
&amp;IF(AND(Tactisch!F20="NEE",Tactisch!Q20="ja"),Tactisch!$D$20&amp;", ",)
&amp;IF(AND(Tactisch!F21="NEE",Tactisch!Q21="ja"),Tactisch!$D$21&amp;", ",)
&amp;IF(OR(AND(Tactisch!F22="NEE",Tactisch!Q22="ja"),AND(Tactisch!F23="NEE",Tactisch!Q23="ja")),Tactisch!D22&amp;", ","")
&amp;IF(AND(Tactisch!F24="NEE",Tactisch!Q24="ja"),Tactisch!$D$24&amp;", ",)
&amp;IF(AND(Tactisch!F25="NEE",Tactisch!Q25="ja"),Tactisch!$D$25&amp;", ",)
&amp;IF(AND(Tactisch!F26="NEE",Tactisch!Q26="ja"),Tactisch!$D$26&amp;", ",)
&amp;IF(AND(Tactisch!F27="NEE",Tactisch!Q27="ja"),Tactisch!$D$27&amp;", ",)
&amp;IF(AND(Tactisch!F28="NEE",Tactisch!Q28="ja"),Tactisch!$D$28&amp;", ",)
&amp;IF(OR(AND(Tactisch!F29="NEE",Tactisch!Q29="ja"),AND(Tactisch!F30="NEE",Tactisch!Q30="ja")),Tactisch!D29&amp;", ","")
&amp;IF(AND(Tactisch!F31="NEE",Tactisch!Q31="ja"),Tactisch!$D$31&amp;", ",)
&amp;IF(AND(Tactisch!F32="NEE",Tactisch!Q32="ja"),Tactisch!$D$32&amp;", ",)
&amp;IF(AND(Tactisch!F33="NEE",Tactisch!Q33="ja"),Tactisch!$D$33&amp;", ",)
&amp;IF(AND(Tactisch!F34="NEE",Tactisch!Q34="ja"),Tactisch!$D$34&amp;", ",)
&amp;IF(OR(AND(Tactisch!F35="NEE",Tactisch!Q35="ja"),AND(Tactisch!F36="NEE",Tactisch!Q36="ja")),Tactisch!D35&amp;", ","")
&amp;IF(OR(AND(Tactisch!F37="NEE",Tactisch!Q37="ja"),AND(Tactisch!F38="NEE",Tactisch!Q38="ja"), AND(Tactisch!F39="NEE",Tactisch!Q39="ja"),AND(Tactisch!F40="NEE",Tactisch!Q40="ja")),Tactisch!D37&amp;", ","")
&amp;IF(OR(AND(Tactisch!F41="NEE",Tactisch!Q41="ja"),AND(Tactisch!F42="NEE",Tactisch!Q42="ja")),Tactisch!D41&amp;", ","")
&amp;IF(OR(AND(Tactisch!F43="NEE",Tactisch!Q43="ja"),AND(Tactisch!F44="NEE",Tactisch!Q44="ja")),Tactisch!D43&amp;", ","")
&amp;IF(AND(Tactisch!F46="NEE",Tactisch!Q46="ja"),Tactisch!$D$46&amp;", ",)
&amp;IF(AND(Tactisch!F50="NEE",Tactisch!Q50="ja"),Tactisch!$D$50&amp;", ",)
&amp;IF(AND(Tactisch!F51="NEE",Tactisch!Q51="ja"),Tactisch!$D$51&amp;", ",)
&amp;IF(AND(Tactisch!F52="NEE",Tactisch!Q52="ja"),Tactisch!$D$52&amp;", ",)
&amp;IF(AND(Tactisch!F53="NEE",Tactisch!Q53="ja"),Tactisch!$D$53&amp;", ",)
&amp;IF(AND(Tactisch!F54="NEE",Tactisch!Q54="ja"),Tactisch!$D$54&amp;", ",)
&amp;IF(AND(Tactisch!F55="NEE",Tactisch!Q55="ja"),Tactisch!$D$55&amp;", ",)
&amp;IF(AND(Tactisch!F56="NEE",Tactisch!Q56="ja"),Tactisch!$D$56&amp;", ",)
&amp;IF(AND(Tactisch!F57="NEE",Tactisch!Q57="ja"),Tactisch!$D$57&amp;", ",)
&amp;IF(AND(Tactisch!F58="NEE",Tactisch!Q58="ja"),Tactisch!$D$58&amp;", ",)
&amp;IF(AND(Tactisch!F59="NEE",Tactisch!Q59="ja"),Tactisch!$D$59&amp;", ",)
&amp;IF(AND(Tactisch!F60="NEE",Tactisch!Q60="ja"),Tactisch!$D$60&amp;", ",)</f>
        <v/>
      </c>
      <c r="N20" s="33" t="s">
        <v>6</v>
      </c>
      <c r="O20" s="74" t="s">
        <v>1</v>
      </c>
      <c r="Q20" s="166" t="str">
        <f t="shared" si="13"/>
        <v>Let op: Er zijn meer handvatten beschikbaar dan weergegeven. Advies is om eerste invulling te geven aan de nu weergegeven onderwerpen.</v>
      </c>
      <c r="R20" s="33" t="str">
        <f t="shared" si="14"/>
        <v>https://www.ncsc.nl/soc/het-vertrekpunt-voor-een-soc#:~:text=</v>
      </c>
      <c r="S20" s="74" t="s">
        <v>379</v>
      </c>
    </row>
    <row r="21" spans="2:19" ht="71.25" x14ac:dyDescent="0.45">
      <c r="B21" s="156">
        <f t="shared" si="1"/>
        <v>0</v>
      </c>
      <c r="C21" s="156" t="str">
        <f>IF(B21=1,SUM($B$4:B21),"Nvt")</f>
        <v>Nvt</v>
      </c>
      <c r="D21" s="79"/>
      <c r="E21" s="33" t="s">
        <v>269</v>
      </c>
      <c r="F21" s="33" t="s">
        <v>270</v>
      </c>
      <c r="G21" s="33" t="s">
        <v>268</v>
      </c>
      <c r="H21" s="33" t="s">
        <v>230</v>
      </c>
      <c r="I21" s="110" t="str">
        <f t="shared" si="12"/>
        <v>Veilige instellingen voor apparatuur &amp; software (Bron: NCSC)</v>
      </c>
      <c r="J21" s="33" t="str">
        <f t="shared" ref="J21:J29" si="15">R21&amp;S21</f>
        <v>https://www.ncsc.nl/basisprincipes/overzicht</v>
      </c>
      <c r="L21" s="133" t="str">
        <f t="shared" si="3"/>
        <v>NEE</v>
      </c>
      <c r="M21" s="154" t="str">
        <f>IF(OR(AND(Tactisch!F10="NEE",Tactisch!R10="ja"),AND(Tactisch!F11="NEE",Tactisch!R11="ja"), AND(Tactisch!F12="NEE",Tactisch!R12="ja")),Tactisch!D10&amp;", ","")
&amp;IF(AND(Tactisch!F13="NEE",Tactisch!R13="ja"),Tactisch!$D$13&amp;", ",)
&amp;IF(AND(Tactisch!F14="NEE",Tactisch!R14="ja"),Tactisch!$D$14&amp;", ",)
&amp;IF(AND(Tactisch!F17="NEE",Tactisch!R17="ja"),Tactisch!$D$17&amp;", ",)
&amp;IF(AND(Tactisch!F18="NEE",Tactisch!R18="ja"),Tactisch!$D$18&amp;", ",)
&amp;IF(AND(Tactisch!F19="NEE",Tactisch!R19="ja"),Tactisch!$D$19&amp;", ",)
&amp;IF(AND(Tactisch!F20="NEE",Tactisch!R20="ja"),Tactisch!$D$20&amp;", ",)
&amp;IF(AND(Tactisch!F21="NEE",Tactisch!R21="ja"),Tactisch!$D$21&amp;", ",)
&amp;IF(OR(AND(Tactisch!F22="NEE",Tactisch!R22="ja"),AND(Tactisch!F23="NEE",Tactisch!R23="ja")),Tactisch!D22&amp;", ","")
&amp;IF(AND(Tactisch!F24="NEE",Tactisch!R24="ja"),Tactisch!$D$24&amp;", ",)
&amp;IF(AND(Tactisch!F25="NEE",Tactisch!R25="ja"),Tactisch!$D$25&amp;", ",)
&amp;IF(AND(Tactisch!F26="NEE",Tactisch!R26="ja"),Tactisch!$D$26&amp;", ",)
&amp;IF(AND(Tactisch!F27="NEE",Tactisch!R27="ja"),Tactisch!$D$27&amp;", ",)
&amp;IF(AND(Tactisch!F28="NEE",Tactisch!R28="ja"),Tactisch!$D$28&amp;", ",)
&amp;IF(OR(AND(Tactisch!F29="NEE",Tactisch!R29="ja"),AND(Tactisch!F30="NEE",Tactisch!R30="ja")),Tactisch!D29&amp;", ","")
&amp;IF(AND(Tactisch!F31="NEE",Tactisch!R31="ja"),Tactisch!$D$31&amp;", ",)
&amp;IF(AND(Tactisch!F32="NEE",Tactisch!R32="ja"),Tactisch!$D$32&amp;", ",)
&amp;IF(AND(Tactisch!F33="NEE",Tactisch!R33="ja"),Tactisch!$D$33&amp;", ",)
&amp;IF(AND(Tactisch!F34="NEE",Tactisch!R34="ja"),Tactisch!$D$34&amp;", ",)
&amp;IF(OR(AND(Tactisch!F35="NEE",Tactisch!R35="ja"),AND(Tactisch!F36="NEE",Tactisch!R36="ja")),Tactisch!D35&amp;", ","")
&amp;IF(OR(AND(Tactisch!F37="NEE",Tactisch!R37="ja"),AND(Tactisch!F38="NEE",Tactisch!R38="ja"), AND(Tactisch!F39="NEE",Tactisch!R39="ja"),AND(Tactisch!F40="NEE",Tactisch!R40="ja")),Tactisch!D37&amp;", ","")
&amp;IF(OR(AND(Tactisch!F41="NEE",Tactisch!R41="ja"),AND(Tactisch!F42="NEE",Tactisch!R42="ja")),Tactisch!D41&amp;", ","")
&amp;IF(OR(AND(Tactisch!F43="NEE",Tactisch!R43="ja"),AND(Tactisch!F44="NEE",Tactisch!R44="ja")),Tactisch!D43&amp;", ","")
&amp;IF(AND(Tactisch!F46="NEE",Tactisch!R46="ja"),Tactisch!$D$46&amp;", ",)
&amp;IF(AND(Tactisch!F50="NEE",Tactisch!R50="ja"),Tactisch!$D$50&amp;", ",)
&amp;IF(AND(Tactisch!F51="NEE",Tactisch!R51="ja"),Tactisch!$D$51&amp;", ",)
&amp;IF(AND(Tactisch!F52="NEE",Tactisch!R52="ja"),Tactisch!$D$52&amp;", ",)
&amp;IF(AND(Tactisch!F53="NEE",Tactisch!R53="ja"),Tactisch!$D$53&amp;", ",)
&amp;IF(AND(Tactisch!F54="NEE",Tactisch!R54="ja"),Tactisch!$D$54&amp;", ",)
&amp;IF(AND(Tactisch!F55="NEE",Tactisch!R55="ja"),Tactisch!$D$55&amp;", ",)
&amp;IF(AND(Tactisch!F56="NEE",Tactisch!R56="ja"),Tactisch!$D$56&amp;", ",)
&amp;IF(AND(Tactisch!F57="NEE",Tactisch!R57="ja"),Tactisch!$D$57&amp;", ",)
&amp;IF(AND(Tactisch!F58="NEE",Tactisch!R58="ja"),Tactisch!$D$58&amp;", ",)
&amp;IF(AND(Tactisch!F59="NEE",Tactisch!R59="ja"),Tactisch!$D$59&amp;", ",)
&amp;IF(AND(Tactisch!F60="NEE",Tactisch!R60="ja"),Tactisch!$D$60&amp;", ",)</f>
        <v/>
      </c>
      <c r="N21" s="33" t="s">
        <v>16</v>
      </c>
      <c r="O21" s="74" t="s">
        <v>1</v>
      </c>
      <c r="Q21" s="166" t="str">
        <f t="shared" si="13"/>
        <v>Let op: Er zijn meer handvatten beschikbaar dan weergegeven. Advies is om eerste invulling te geven aan de nu weergegeven onderwerpen.</v>
      </c>
      <c r="R21" s="33" t="s">
        <v>364</v>
      </c>
      <c r="S21" s="74"/>
    </row>
    <row r="22" spans="2:19" ht="71.25" x14ac:dyDescent="0.45">
      <c r="B22" s="156">
        <f t="shared" si="1"/>
        <v>0</v>
      </c>
      <c r="C22" s="156" t="str">
        <f>IF(B22=1,SUM($B$4:B22),"Nvt")</f>
        <v>Nvt</v>
      </c>
      <c r="D22" s="79"/>
      <c r="E22" s="33" t="s">
        <v>271</v>
      </c>
      <c r="F22" s="33" t="s">
        <v>272</v>
      </c>
      <c r="G22" s="33" t="s">
        <v>268</v>
      </c>
      <c r="H22" s="33" t="s">
        <v>230</v>
      </c>
      <c r="I22" s="110" t="str">
        <f t="shared" si="12"/>
        <v>Hou je apparaten en software up-to-date (Bron: NCSC)</v>
      </c>
      <c r="J22" s="33" t="str">
        <f t="shared" si="15"/>
        <v>https://www.ncsc.nl/basisprincipes/basisprincipe-3-bescherm-systemen-applicaties-en-apparaten</v>
      </c>
      <c r="L22" s="133" t="str">
        <f t="shared" si="3"/>
        <v>NEE</v>
      </c>
      <c r="M22" s="154" t="str">
        <f>IF(OR(AND(Tactisch!F10="NEE",Tactisch!S10="ja"),AND(Tactisch!F11="NEE",Tactisch!S11="ja"), AND(Tactisch!F12="NEE",Tactisch!S12="ja")),Tactisch!D10&amp;", ","")
&amp;IF(AND(Tactisch!F13="NEE",Tactisch!S13="ja"),Tactisch!$D$13&amp;", ",)
&amp;IF(AND(Tactisch!F14="NEE",Tactisch!S14="ja"),Tactisch!$D$14&amp;", ",)
&amp;IF(AND(Tactisch!F17="NEE",Tactisch!S17="ja"),Tactisch!$D$17&amp;", ",)
&amp;IF(AND(Tactisch!F18="NEE",Tactisch!S18="ja"),Tactisch!$D$18&amp;", ",)
&amp;IF(AND(Tactisch!F19="NEE",Tactisch!S19="ja"),Tactisch!$D$19&amp;", ",)
&amp;IF(AND(Tactisch!F20="NEE",Tactisch!S20="ja"),Tactisch!$D$20&amp;", ",)
&amp;IF(AND(Tactisch!F21="NEE",Tactisch!S21="ja"),Tactisch!$D$21&amp;", ",)
&amp;IF(OR(AND(Tactisch!F22="NEE",Tactisch!S22="ja"),AND(Tactisch!F23="NEE",Tactisch!S23="ja")),Tactisch!D22&amp;", ","")
&amp;IF(AND(Tactisch!F24="NEE",Tactisch!S24="ja"),Tactisch!$D$24&amp;", ",)
&amp;IF(AND(Tactisch!F25="NEE",Tactisch!S25="ja"),Tactisch!$D$25&amp;", ",)
&amp;IF(AND(Tactisch!F26="NEE",Tactisch!S26="ja"),Tactisch!$D$26&amp;", ",)
&amp;IF(AND(Tactisch!F27="NEE",Tactisch!S27="ja"),Tactisch!$D$27&amp;", ",)
&amp;IF(AND(Tactisch!F28="NEE",Tactisch!S28="ja"),Tactisch!$D$28&amp;", ",)
&amp;IF(OR(AND(Tactisch!F29="NEE",Tactisch!S29="ja"),AND(Tactisch!F30="NEE",Tactisch!S30="ja")),Tactisch!D29&amp;", ","")
&amp;IF(AND(Tactisch!F31="NEE",Tactisch!S31="ja"),Tactisch!$D$31&amp;", ",)
&amp;IF(AND(Tactisch!F32="NEE",Tactisch!S32="ja"),Tactisch!$D$32&amp;", ",)
&amp;IF(AND(Tactisch!F33="NEE",Tactisch!S33="ja"),Tactisch!$D$33&amp;", ",)
&amp;IF(AND(Tactisch!F34="NEE",Tactisch!S34="ja"),Tactisch!$D$34&amp;", ",)
&amp;IF(OR(AND(Tactisch!F35="NEE",Tactisch!S35="ja"),AND(Tactisch!F36="NEE",Tactisch!S36="ja")),Tactisch!D35&amp;", ","")
&amp;IF(OR(AND(Tactisch!F37="NEE",Tactisch!S37="ja"),AND(Tactisch!F38="NEE",Tactisch!S38="ja"), AND(Tactisch!F39="NEE",Tactisch!S39="ja"),AND(Tactisch!F40="NEE",Tactisch!S40="ja")),Tactisch!D37&amp;", ","")
&amp;IF(OR(AND(Tactisch!F41="NEE",Tactisch!S41="ja"),AND(Tactisch!F42="NEE",Tactisch!S42="ja")),Tactisch!D41&amp;", ","")
&amp;IF(OR(AND(Tactisch!F43="NEE",Tactisch!S43="ja"),AND(Tactisch!F44="NEE",Tactisch!S44="ja")),Tactisch!D43&amp;", ","")
&amp;IF(AND(Tactisch!F46="NEE",Tactisch!S46="ja"),Tactisch!$D$46&amp;", ",)
&amp;IF(AND(Tactisch!F50="NEE",Tactisch!S50="ja"),Tactisch!$D$50&amp;", ",)
&amp;IF(AND(Tactisch!F51="NEE",Tactisch!S51="ja"),Tactisch!$D$51&amp;", ",)
&amp;IF(AND(Tactisch!F52="NEE",Tactisch!S52="ja"),Tactisch!$D$52&amp;", ",)
&amp;IF(AND(Tactisch!F53="NEE",Tactisch!S53="ja"),Tactisch!$D$53&amp;", ",)
&amp;IF(AND(Tactisch!F54="NEE",Tactisch!S54="ja"),Tactisch!$D$54&amp;", ",)
&amp;IF(AND(Tactisch!F55="NEE",Tactisch!S55="ja"),Tactisch!$D$55&amp;", ",)
&amp;IF(AND(Tactisch!F56="NEE",Tactisch!S56="ja"),Tactisch!$D$56&amp;", ",)
&amp;IF(AND(Tactisch!F57="NEE",Tactisch!S57="ja"),Tactisch!$D$57&amp;", ",)
&amp;IF(AND(Tactisch!F58="NEE",Tactisch!S58="ja"),Tactisch!$D$58&amp;", ",)
&amp;IF(AND(Tactisch!F59="NEE",Tactisch!S59="ja"),Tactisch!$D$59&amp;", ",)
&amp;IF(AND(Tactisch!F60="NEE",Tactisch!S60="ja"),Tactisch!$D$60&amp;", ",)</f>
        <v/>
      </c>
      <c r="N22" s="33" t="s">
        <v>53</v>
      </c>
      <c r="O22" s="74" t="s">
        <v>1</v>
      </c>
      <c r="Q22" s="166" t="str">
        <f t="shared" si="13"/>
        <v>Let op: Er zijn meer handvatten beschikbaar dan weergegeven. Advies is om eerste invulling te geven aan de nu weergegeven onderwerpen.</v>
      </c>
      <c r="R22" s="33" t="s">
        <v>363</v>
      </c>
      <c r="S22" s="74"/>
    </row>
    <row r="23" spans="2:19" ht="71.25" x14ac:dyDescent="0.45">
      <c r="B23" s="156">
        <f t="shared" si="1"/>
        <v>0</v>
      </c>
      <c r="C23" s="156" t="str">
        <f>IF(B23=1,SUM($B$4:B23),"Nvt")</f>
        <v>Nvt</v>
      </c>
      <c r="D23" s="79"/>
      <c r="E23" s="33" t="s">
        <v>317</v>
      </c>
      <c r="F23" s="33" t="s">
        <v>315</v>
      </c>
      <c r="G23" s="33" t="s">
        <v>298</v>
      </c>
      <c r="H23" s="33" t="s">
        <v>194</v>
      </c>
      <c r="I23" s="110" t="str">
        <f t="shared" si="12"/>
        <v>Kwetsbaarhedenbeheer (Interne assets) (Bron: VSSR)</v>
      </c>
      <c r="J23" s="33" t="str">
        <f t="shared" si="15"/>
        <v>https://www.ncsc.nl/soc/het-vertrekpunt-voor-een-soc#:~:text=Kwetsbaarhedenbeheer</v>
      </c>
      <c r="L23" s="133" t="str">
        <f t="shared" si="3"/>
        <v>NEE</v>
      </c>
      <c r="M23" s="154" t="str">
        <f>IF(OR(AND(Tactisch!F10="NEE",Tactisch!T10="ja"),AND(Tactisch!F11="NEE",Tactisch!T11="ja"), AND(Tactisch!F12="NEE",Tactisch!T12="ja")),Tactisch!D10&amp;", ","")
&amp;IF(AND(Tactisch!F13="NEE",Tactisch!T13="ja"),Tactisch!$D$13&amp;", ",)
&amp;IF(AND(Tactisch!F14="NEE",Tactisch!T14="ja"),Tactisch!$D$14&amp;", ",)
&amp;IF(AND(Tactisch!F17="NEE",Tactisch!T17="ja"),Tactisch!$D$17&amp;", ",)
&amp;IF(AND(Tactisch!F18="NEE",Tactisch!T18="ja"),Tactisch!$D$18&amp;", ",)
&amp;IF(AND(Tactisch!F19="NEE",Tactisch!T19="ja"),Tactisch!$D$19&amp;", ",)
&amp;IF(AND(Tactisch!F20="NEE",Tactisch!T20="ja"),Tactisch!$D$20&amp;", ",)
&amp;IF(AND(Tactisch!F21="NEE",Tactisch!T21="ja"),Tactisch!$D$21&amp;", ",)
&amp;IF(OR(AND(Tactisch!F22="NEE",Tactisch!T22="ja"),AND(Tactisch!F23="NEE",Tactisch!T23="ja")),Tactisch!D22&amp;", ","")
&amp;IF(AND(Tactisch!F24="NEE",Tactisch!T24="ja"),Tactisch!$D$24&amp;", ",)
&amp;IF(AND(Tactisch!F25="NEE",Tactisch!T25="ja"),Tactisch!$D$25&amp;", ",)
&amp;IF(AND(Tactisch!F26="NEE",Tactisch!T26="ja"),Tactisch!$D$26&amp;", ",)
&amp;IF(AND(Tactisch!F27="NEE",Tactisch!T27="ja"),Tactisch!$D$27&amp;", ",)
&amp;IF(AND(Tactisch!F28="NEE",Tactisch!T28="ja"),Tactisch!$D$28&amp;", ",)
&amp;IF(OR(AND(Tactisch!F29="NEE",Tactisch!T29="ja"),AND(Tactisch!F30="NEE",Tactisch!T30="ja")),Tactisch!D29&amp;", ","")
&amp;IF(AND(Tactisch!F31="NEE",Tactisch!T31="ja"),Tactisch!$D$31&amp;", ",)
&amp;IF(AND(Tactisch!F32="NEE",Tactisch!T32="ja"),Tactisch!$D$32&amp;", ",)
&amp;IF(AND(Tactisch!F33="NEE",Tactisch!T33="ja"),Tactisch!$D$33&amp;", ",)
&amp;IF(AND(Tactisch!F34="NEE",Tactisch!T34="ja"),Tactisch!$D$34&amp;", ",)
&amp;IF(OR(AND(Tactisch!F35="NEE",Tactisch!T35="ja"),AND(Tactisch!F36="NEE",Tactisch!T36="ja")),Tactisch!D35&amp;", ","")
&amp;IF(OR(AND(Tactisch!F37="NEE",Tactisch!T37="ja"),AND(Tactisch!F38="NEE",Tactisch!T38="ja"), AND(Tactisch!F39="NEE",Tactisch!T39="ja"),AND(Tactisch!F40="NEE",Tactisch!T40="ja")),Tactisch!D37&amp;", ","")
&amp;IF(OR(AND(Tactisch!F41="NEE",Tactisch!T41="ja"),AND(Tactisch!F42="NEE",Tactisch!T42="ja")),Tactisch!D41&amp;", ","")
&amp;IF(OR(AND(Tactisch!F43="NEE",Tactisch!T43="ja"),AND(Tactisch!F44="NEE",Tactisch!T44="ja")),Tactisch!D43&amp;", ","")
&amp;IF(AND(Tactisch!F46="NEE",Tactisch!T46="ja"),Tactisch!$D$46&amp;", ",)
&amp;IF(AND(Tactisch!F50="NEE",Tactisch!T50="ja"),Tactisch!$D$50&amp;", ",)
&amp;IF(AND(Tactisch!F51="NEE",Tactisch!T51="ja"),Tactisch!$D$51&amp;", ",)
&amp;IF(AND(Tactisch!F52="NEE",Tactisch!T52="ja"),Tactisch!$D$52&amp;", ",)
&amp;IF(AND(Tactisch!F53="NEE",Tactisch!T53="ja"),Tactisch!$D$53&amp;", ",)
&amp;IF(AND(Tactisch!F54="NEE",Tactisch!T54="ja"),Tactisch!$D$54&amp;", ",)
&amp;IF(AND(Tactisch!F55="NEE",Tactisch!T55="ja"),Tactisch!$D$55&amp;", ",)
&amp;IF(AND(Tactisch!F56="NEE",Tactisch!T56="ja"),Tactisch!$D$56&amp;", ",)
&amp;IF(AND(Tactisch!F57="NEE",Tactisch!T57="ja"),Tactisch!$D$57&amp;", ",)
&amp;IF(AND(Tactisch!F58="NEE",Tactisch!T58="ja"),Tactisch!$D$58&amp;", ",)
&amp;IF(AND(Tactisch!F59="NEE",Tactisch!T59="ja"),Tactisch!$D$59&amp;", ",)
&amp;IF(AND(Tactisch!F60="NEE",Tactisch!T60="ja"),Tactisch!$D$60&amp;", ",)</f>
        <v/>
      </c>
      <c r="N23" s="33" t="s">
        <v>53</v>
      </c>
      <c r="O23" s="74" t="s">
        <v>1</v>
      </c>
      <c r="Q23" s="166" t="str">
        <f t="shared" si="13"/>
        <v>Let op: Er zijn meer handvatten beschikbaar dan weergegeven. Advies is om eerste invulling te geven aan de nu weergegeven onderwerpen.</v>
      </c>
      <c r="R23" s="33" t="str">
        <f>$R$4</f>
        <v>https://www.ncsc.nl/soc/het-vertrekpunt-voor-een-soc#:~:text=</v>
      </c>
      <c r="S23" s="74" t="s">
        <v>67</v>
      </c>
    </row>
    <row r="24" spans="2:19" ht="71.25" x14ac:dyDescent="0.45">
      <c r="B24" s="156">
        <f t="shared" si="1"/>
        <v>0</v>
      </c>
      <c r="C24" s="156" t="str">
        <f>IF(B24=1,SUM($B$4:B24),"Nvt")</f>
        <v>Nvt</v>
      </c>
      <c r="D24" s="79"/>
      <c r="E24" s="33" t="s">
        <v>316</v>
      </c>
      <c r="F24" s="33" t="s">
        <v>299</v>
      </c>
      <c r="G24" s="33" t="s">
        <v>298</v>
      </c>
      <c r="H24" s="33" t="s">
        <v>300</v>
      </c>
      <c r="I24" s="110" t="str">
        <f t="shared" si="12"/>
        <v>Kwetsbaarhedenbeheer (Externe assets) (Bron: BZK/CIO Rijk)</v>
      </c>
      <c r="J24" s="33" t="str">
        <f t="shared" si="15"/>
        <v>https://www.cip-overheid.nl/media/djabtmgr/handreiking-kwetsbaarheidsscans-2021-05-03-versie-10.pdf</v>
      </c>
      <c r="L24" s="133" t="str">
        <f t="shared" si="3"/>
        <v>NEE</v>
      </c>
      <c r="M24" s="154" t="str">
        <f>IF(OR(AND(Tactisch!F10="NEE",Tactisch!U10="ja"),AND(Tactisch!F11="NEE",Tactisch!U11="ja"), AND(Tactisch!F12="NEE",Tactisch!U12="ja")),Tactisch!D10&amp;", ","")
&amp;IF(AND(Tactisch!F13="NEE",Tactisch!U13="ja"),Tactisch!$D$13&amp;", ",)
&amp;IF(AND(Tactisch!F14="NEE",Tactisch!U14="ja"),Tactisch!$D$14&amp;", ",)
&amp;IF(AND(Tactisch!F17="NEE",Tactisch!U17="ja"),Tactisch!$D$17&amp;", ",)
&amp;IF(AND(Tactisch!F18="NEE",Tactisch!U18="ja"),Tactisch!$D$18&amp;", ",)
&amp;IF(AND(Tactisch!F19="NEE",Tactisch!U19="ja"),Tactisch!$D$19&amp;", ",)
&amp;IF(AND(Tactisch!F20="NEE",Tactisch!U20="ja"),Tactisch!$D$20&amp;", ",)
&amp;IF(AND(Tactisch!F21="NEE",Tactisch!U21="ja"),Tactisch!$D$21&amp;", ",)
&amp;IF(OR(AND(Tactisch!F22="NEE",Tactisch!U22="ja"),AND(Tactisch!F23="NEE",Tactisch!U23="ja")),Tactisch!D22&amp;", ","")
&amp;IF(AND(Tactisch!F24="NEE",Tactisch!U24="ja"),Tactisch!$D$24&amp;", ",)
&amp;IF(AND(Tactisch!F25="NEE",Tactisch!U25="ja"),Tactisch!$D$25&amp;", ",)
&amp;IF(AND(Tactisch!F26="NEE",Tactisch!U26="ja"),Tactisch!$D$26&amp;", ",)
&amp;IF(AND(Tactisch!F27="NEE",Tactisch!U27="ja"),Tactisch!$D$27&amp;", ",)
&amp;IF(AND(Tactisch!F28="NEE",Tactisch!U28="ja"),Tactisch!$D$28&amp;", ",)
&amp;IF(OR(AND(Tactisch!F29="NEE",Tactisch!U29="ja"),AND(Tactisch!F30="NEE",Tactisch!U30="ja")),Tactisch!D29&amp;", ","")
&amp;IF(AND(Tactisch!F31="NEE",Tactisch!U31="ja"),Tactisch!$D$31&amp;", ",)
&amp;IF(AND(Tactisch!F32="NEE",Tactisch!U32="ja"),Tactisch!$D$32&amp;", ",)
&amp;IF(AND(Tactisch!F33="NEE",Tactisch!U33="ja"),Tactisch!$D$33&amp;", ",)
&amp;IF(AND(Tactisch!F34="NEE",Tactisch!U34="ja"),Tactisch!$D$34&amp;", ",)
&amp;IF(OR(AND(Tactisch!F35="NEE",Tactisch!U35="ja"),AND(Tactisch!F36="NEE",Tactisch!U36="ja")),Tactisch!D35&amp;", ","")
&amp;IF(OR(AND(Tactisch!F37="NEE",Tactisch!U37="ja"),AND(Tactisch!F38="NEE",Tactisch!U38="ja"), AND(Tactisch!F39="NEE",Tactisch!U39="ja"),AND(Tactisch!F40="NEE",Tactisch!U40="ja")),Tactisch!D37&amp;", ","")
&amp;IF(OR(AND(Tactisch!F41="NEE",Tactisch!U41="ja"),AND(Tactisch!F42="NEE",Tactisch!U42="ja")),Tactisch!D41&amp;", ","")
&amp;IF(OR(AND(Tactisch!F43="NEE",Tactisch!U43="ja"),AND(Tactisch!F44="NEE",Tactisch!U44="ja")),Tactisch!D43&amp;", ","")
&amp;IF(AND(Tactisch!F46="NEE",Tactisch!U46="ja"),Tactisch!$D$46&amp;", ",)
&amp;IF(AND(Tactisch!F50="NEE",Tactisch!U50="ja"),Tactisch!$D$50&amp;", ",)
&amp;IF(AND(Tactisch!F51="NEE",Tactisch!U51="ja"),Tactisch!$D$51&amp;", ",)
&amp;IF(AND(Tactisch!F52="NEE",Tactisch!U52="ja"),Tactisch!$D$52&amp;", ",)
&amp;IF(AND(Tactisch!F53="NEE",Tactisch!U53="ja"),Tactisch!$D$53&amp;", ",)
&amp;IF(AND(Tactisch!F54="NEE",Tactisch!U54="ja"),Tactisch!$D$54&amp;", ",)
&amp;IF(AND(Tactisch!F55="NEE",Tactisch!U55="ja"),Tactisch!$D$55&amp;", ",)
&amp;IF(AND(Tactisch!F56="NEE",Tactisch!U56="ja"),Tactisch!$D$56&amp;", ",)
&amp;IF(AND(Tactisch!F57="NEE",Tactisch!U57="ja"),Tactisch!$D$57&amp;", ",)
&amp;IF(AND(Tactisch!F58="NEE",Tactisch!U58="ja"),Tactisch!$D$58&amp;", ",)
&amp;IF(AND(Tactisch!F59="NEE",Tactisch!U59="ja"),Tactisch!$D$59&amp;", ",)
&amp;IF(AND(Tactisch!F60="NEE",Tactisch!U60="ja"),Tactisch!$D$60&amp;", ",)</f>
        <v/>
      </c>
      <c r="N24" s="33" t="s">
        <v>53</v>
      </c>
      <c r="O24" s="74" t="s">
        <v>1</v>
      </c>
      <c r="Q24" s="166" t="str">
        <f t="shared" si="13"/>
        <v>Let op: Er zijn meer handvatten beschikbaar dan weergegeven. Advies is om eerste invulling te geven aan de nu weergegeven onderwerpen.</v>
      </c>
      <c r="R24" s="33" t="s">
        <v>297</v>
      </c>
      <c r="S24" s="74"/>
    </row>
    <row r="25" spans="2:19" ht="71.25" x14ac:dyDescent="0.45">
      <c r="B25" s="156">
        <f t="shared" si="1"/>
        <v>0</v>
      </c>
      <c r="C25" s="156" t="str">
        <f>IF(B25=1,SUM($B$4:B25),"Nvt")</f>
        <v>Nvt</v>
      </c>
      <c r="D25" s="79"/>
      <c r="E25" s="33" t="s">
        <v>234</v>
      </c>
      <c r="F25" s="33" t="s">
        <v>234</v>
      </c>
      <c r="G25" s="33" t="s">
        <v>268</v>
      </c>
      <c r="H25" s="33" t="s">
        <v>230</v>
      </c>
      <c r="I25" s="110" t="str">
        <f t="shared" si="12"/>
        <v>Implementatie van detectieoplossingen (Bron: NCSC)</v>
      </c>
      <c r="J25" s="33" t="str">
        <f t="shared" si="15"/>
        <v>https://www.ncsc.nl/documenten/publicaties/2019/mei/01/handreiking-voor-implementatie-van-detectie-oplossingen</v>
      </c>
      <c r="L25" s="133" t="str">
        <f t="shared" si="3"/>
        <v>NEE</v>
      </c>
      <c r="M25" s="154" t="str">
        <f>IF(OR(AND(Tactisch!F10="NEE",Tactisch!V10="ja"),AND(Tactisch!F11="NEE",Tactisch!V11="ja"), AND(Tactisch!F12="NEE",Tactisch!V12="ja")),Tactisch!D10&amp;", ","")
&amp;IF(AND(Tactisch!F13="NEE",Tactisch!V13="ja"),Tactisch!$D$13&amp;", ",)
&amp;IF(AND(Tactisch!F14="NEE",Tactisch!V14="ja"),Tactisch!$D$14&amp;", ",)
&amp;IF(AND(Tactisch!F17="NEE",Tactisch!V17="ja"),Tactisch!$D$17&amp;", ",)
&amp;IF(AND(Tactisch!F18="NEE",Tactisch!V18="ja"),Tactisch!$D$18&amp;", ",)
&amp;IF(AND(Tactisch!F19="NEE",Tactisch!V19="ja"),Tactisch!$D$19&amp;", ",)
&amp;IF(AND(Tactisch!F20="NEE",Tactisch!V20="ja"),Tactisch!$D$20&amp;", ",)
&amp;IF(AND(Tactisch!F21="NEE",Tactisch!V21="ja"),Tactisch!$D$21&amp;", ",)
&amp;IF(OR(AND(Tactisch!F22="NEE",Tactisch!V22="ja"),AND(Tactisch!F23="NEE",Tactisch!V23="ja")),Tactisch!D22&amp;", ","")
&amp;IF(AND(Tactisch!F24="NEE",Tactisch!V24="ja"),Tactisch!$D$24&amp;", ",)
&amp;IF(AND(Tactisch!F25="NEE",Tactisch!V25="ja"),Tactisch!$D$25&amp;", ",)
&amp;IF(AND(Tactisch!F26="NEE",Tactisch!V26="ja"),Tactisch!$D$26&amp;", ",)
&amp;IF(AND(Tactisch!F27="NEE",Tactisch!V27="ja"),Tactisch!$D$27&amp;", ",)
&amp;IF(AND(Tactisch!F28="NEE",Tactisch!V28="ja"),Tactisch!$D$28&amp;", ",)
&amp;IF(OR(AND(Tactisch!F29="NEE",Tactisch!V29="ja"),AND(Tactisch!F30="NEE",Tactisch!V30="ja")),Tactisch!D29&amp;", ","")
&amp;IF(AND(Tactisch!F31="NEE",Tactisch!V31="ja"),Tactisch!$D$31&amp;", ",)
&amp;IF(AND(Tactisch!F32="NEE",Tactisch!V32="ja"),Tactisch!$D$32&amp;", ",)
&amp;IF(AND(Tactisch!F33="NEE",Tactisch!V33="ja"),Tactisch!$D$33&amp;", ",)
&amp;IF(AND(Tactisch!F34="NEE",Tactisch!V34="ja"),Tactisch!$D$34&amp;", ",)
&amp;IF(OR(AND(Tactisch!F35="NEE",Tactisch!V35="ja"),AND(Tactisch!F36="NEE",Tactisch!V36="ja")),Tactisch!D35&amp;", ","")
&amp;IF(OR(AND(Tactisch!F37="NEE",Tactisch!V37="ja"),AND(Tactisch!F38="NEE",Tactisch!V38="ja"), AND(Tactisch!F39="NEE",Tactisch!V39="ja"),AND(Tactisch!F40="NEE",Tactisch!V40="ja")),Tactisch!D37&amp;", ","")
&amp;IF(OR(AND(Tactisch!F41="NEE",Tactisch!V41="ja"),AND(Tactisch!F42="NEE",Tactisch!V42="ja")),Tactisch!D41&amp;", ","")
&amp;IF(OR(AND(Tactisch!F43="NEE",Tactisch!V43="ja"),AND(Tactisch!F44="NEE",Tactisch!V44="ja")),Tactisch!D43&amp;", ","")
&amp;IF(AND(Tactisch!F46="NEE",Tactisch!V46="ja"),Tactisch!$D$46&amp;", ",)
&amp;IF(AND(Tactisch!F50="NEE",Tactisch!V50="ja"),Tactisch!$D$50&amp;", ",)
&amp;IF(AND(Tactisch!F51="NEE",Tactisch!V51="ja"),Tactisch!$D$51&amp;", ",)
&amp;IF(AND(Tactisch!F52="NEE",Tactisch!V52="ja"),Tactisch!$D$52&amp;", ",)
&amp;IF(AND(Tactisch!F53="NEE",Tactisch!V53="ja"),Tactisch!$D$53&amp;", ",)
&amp;IF(AND(Tactisch!F54="NEE",Tactisch!V54="ja"),Tactisch!$D$54&amp;", ",)
&amp;IF(AND(Tactisch!F55="NEE",Tactisch!V55="ja"),Tactisch!$D$55&amp;", ",)
&amp;IF(AND(Tactisch!F56="NEE",Tactisch!V56="ja"),Tactisch!$D$56&amp;", ",)
&amp;IF(AND(Tactisch!F57="NEE",Tactisch!V57="ja"),Tactisch!$D$57&amp;", ",)
&amp;IF(AND(Tactisch!F58="NEE",Tactisch!V58="ja"),Tactisch!$D$58&amp;", ",)
&amp;IF(AND(Tactisch!F59="NEE",Tactisch!V59="ja"),Tactisch!$D$59&amp;", ",)
&amp;IF(AND(Tactisch!F60="NEE",Tactisch!V60="ja"),Tactisch!$D$60&amp;", ",)</f>
        <v/>
      </c>
      <c r="N25" s="33" t="s">
        <v>16</v>
      </c>
      <c r="O25" s="74" t="s">
        <v>1</v>
      </c>
      <c r="Q25" s="166" t="str">
        <f t="shared" si="13"/>
        <v>Let op: Er zijn meer handvatten beschikbaar dan weergegeven. Advies is om eerste invulling te geven aan de nu weergegeven onderwerpen.</v>
      </c>
      <c r="R25" s="33" t="s">
        <v>233</v>
      </c>
      <c r="S25" s="74"/>
    </row>
    <row r="26" spans="2:19" ht="71.25" x14ac:dyDescent="0.45">
      <c r="B26" s="156">
        <f t="shared" si="1"/>
        <v>0</v>
      </c>
      <c r="C26" s="156" t="str">
        <f>IF(B26=1,SUM($B$4:B26),"Nvt")</f>
        <v>Nvt</v>
      </c>
      <c r="D26" s="79"/>
      <c r="E26" s="33" t="s">
        <v>346</v>
      </c>
      <c r="F26" s="33"/>
      <c r="G26" s="1"/>
      <c r="H26" s="33" t="s">
        <v>194</v>
      </c>
      <c r="I26" s="110" t="str">
        <f t="shared" si="12"/>
        <v>Reserve tav. C! (Bron: VSSR)</v>
      </c>
      <c r="J26" s="33" t="str">
        <f t="shared" si="15"/>
        <v>https://www.ncsc.nl/soc/het-vertrekpunt-voor-een-soc#:~:text=</v>
      </c>
      <c r="L26" s="133" t="str">
        <f t="shared" si="3"/>
        <v>NEE</v>
      </c>
      <c r="M26" s="154" t="str">
        <f>IF(OR(AND(Tactisch!F10="NEE",Tactisch!W10="ja"),AND(Tactisch!F11="NEE",Tactisch!W11="ja"), AND(Tactisch!F12="NEE",Tactisch!W12="ja")),Tactisch!D10&amp;", ","")
&amp;IF(AND(Tactisch!F13="NEE",Tactisch!W13="ja"),Tactisch!$D$13&amp;", ",)
&amp;IF(AND(Tactisch!F14="NEE",Tactisch!W14="ja"),Tactisch!$D$14&amp;", ",)
&amp;IF(AND(Tactisch!F17="NEE",Tactisch!W17="ja"),Tactisch!$D$17&amp;", ",)
&amp;IF(AND(Tactisch!F18="NEE",Tactisch!W18="ja"),Tactisch!$D$18&amp;", ",)
&amp;IF(AND(Tactisch!F19="NEE",Tactisch!W19="ja"),Tactisch!$D$19&amp;", ",)
&amp;IF(AND(Tactisch!F20="NEE",Tactisch!W20="ja"),Tactisch!$D$20&amp;", ",)
&amp;IF(AND(Tactisch!F21="NEE",Tactisch!W21="ja"),Tactisch!$D$21&amp;", ",)
&amp;IF(OR(AND(Tactisch!F22="NEE",Tactisch!W22="ja"),AND(Tactisch!F23="NEE",Tactisch!W23="ja")),Tactisch!D22&amp;", ","")
&amp;IF(AND(Tactisch!F24="NEE",Tactisch!W24="ja"),Tactisch!$D$24&amp;", ",)
&amp;IF(AND(Tactisch!F25="NEE",Tactisch!W25="ja"),Tactisch!$D$25&amp;", ",)
&amp;IF(AND(Tactisch!F26="NEE",Tactisch!W26="ja"),Tactisch!$D$26&amp;", ",)
&amp;IF(AND(Tactisch!F27="NEE",Tactisch!W27="ja"),Tactisch!$D$27&amp;", ",)
&amp;IF(AND(Tactisch!F28="NEE",Tactisch!W28="ja"),Tactisch!$D$28&amp;", ",)
&amp;IF(OR(AND(Tactisch!F29="NEE",Tactisch!W29="ja"),AND(Tactisch!F30="NEE",Tactisch!W30="ja")),Tactisch!D29&amp;", ","")
&amp;IF(AND(Tactisch!F31="NEE",Tactisch!W31="ja"),Tactisch!$D$31&amp;", ",)
&amp;IF(AND(Tactisch!F32="NEE",Tactisch!W32="ja"),Tactisch!$D$32&amp;", ",)
&amp;IF(AND(Tactisch!F33="NEE",Tactisch!W33="ja"),Tactisch!$D$33&amp;", ",)
&amp;IF(AND(Tactisch!F34="NEE",Tactisch!W34="ja"),Tactisch!$D$34&amp;", ",)
&amp;IF(OR(AND(Tactisch!F35="NEE",Tactisch!W35="ja"),AND(Tactisch!F36="NEE",Tactisch!W36="ja")),Tactisch!D35&amp;", ","")
&amp;IF(OR(AND(Tactisch!F37="NEE",Tactisch!W37="ja"),AND(Tactisch!F38="NEE",Tactisch!W38="ja"), AND(Tactisch!F39="NEE",Tactisch!W39="ja"),AND(Tactisch!F40="NEE",Tactisch!W40="ja")),Tactisch!D37&amp;", ","")
&amp;IF(OR(AND(Tactisch!F41="NEE",Tactisch!W41="ja"),AND(Tactisch!F42="NEE",Tactisch!W42="ja")),Tactisch!D41&amp;", ","")
&amp;IF(OR(AND(Tactisch!F43="NEE",Tactisch!W43="ja"),AND(Tactisch!F44="NEE",Tactisch!W44="ja")),Tactisch!D43&amp;", ","")
&amp;IF(AND(Tactisch!F46="NEE",Tactisch!W46="ja"),Tactisch!$D$46&amp;", ",)
&amp;IF(AND(Tactisch!F50="NEE",Tactisch!W50="ja"),Tactisch!$D$50&amp;", ",)
&amp;IF(AND(Tactisch!F51="NEE",Tactisch!W51="ja"),Tactisch!$D$51&amp;", ",)
&amp;IF(AND(Tactisch!F52="NEE",Tactisch!W52="ja"),Tactisch!$D$52&amp;", ",)
&amp;IF(AND(Tactisch!F53="NEE",Tactisch!W53="ja"),Tactisch!$D$53&amp;", ",)
&amp;IF(AND(Tactisch!F54="NEE",Tactisch!W54="ja"),Tactisch!$D$54&amp;", ",)
&amp;IF(AND(Tactisch!F55="NEE",Tactisch!W55="ja"),Tactisch!$D$55&amp;", ",)
&amp;IF(AND(Tactisch!F56="NEE",Tactisch!W56="ja"),Tactisch!$D$56&amp;", ",)
&amp;IF(AND(Tactisch!F57="NEE",Tactisch!W57="ja"),Tactisch!$D$57&amp;", ",)
&amp;IF(AND(Tactisch!F58="NEE",Tactisch!W58="ja"),Tactisch!$D$58&amp;", ",)
&amp;IF(AND(Tactisch!F59="NEE",Tactisch!W59="ja"),Tactisch!$D$59&amp;", ",)
&amp;IF(AND(Tactisch!F60="NEE",Tactisch!W60="ja"),Tactisch!$D$60&amp;", ",)</f>
        <v/>
      </c>
      <c r="N26" s="33" t="s">
        <v>16</v>
      </c>
      <c r="O26" s="74" t="s">
        <v>1</v>
      </c>
      <c r="Q26" s="166" t="str">
        <f t="shared" si="13"/>
        <v>Let op: Er zijn meer handvatten beschikbaar dan weergegeven. Advies is om eerste invulling te geven aan de nu weergegeven onderwerpen.</v>
      </c>
      <c r="R26" s="33" t="str">
        <f>$R$4</f>
        <v>https://www.ncsc.nl/soc/het-vertrekpunt-voor-een-soc#:~:text=</v>
      </c>
      <c r="S26" s="74"/>
    </row>
    <row r="27" spans="2:19" ht="71.25" x14ac:dyDescent="0.45">
      <c r="B27" s="156">
        <f t="shared" si="1"/>
        <v>0</v>
      </c>
      <c r="C27" s="156" t="str">
        <f>IF(B27=1,SUM($B$4:B27),"Nvt")</f>
        <v>Nvt</v>
      </c>
      <c r="D27" s="79"/>
      <c r="E27" s="23" t="s">
        <v>328</v>
      </c>
      <c r="F27" s="33" t="s">
        <v>329</v>
      </c>
      <c r="G27" s="33" t="s">
        <v>330</v>
      </c>
      <c r="H27" s="33" t="s">
        <v>230</v>
      </c>
      <c r="I27" s="110" t="str">
        <f t="shared" si="12"/>
        <v>Routekaart risicomanagement (Bron: NCSC)</v>
      </c>
      <c r="J27" s="33" t="str">
        <f t="shared" si="15"/>
        <v>https://www.ncsc.nl/wat-kun-je-zelf-doen/routekaart-risicomanagement</v>
      </c>
      <c r="L27" s="133" t="str">
        <f t="shared" si="3"/>
        <v>NEE</v>
      </c>
      <c r="M27" s="154" t="str">
        <f>IF(OR(AND(Tactisch!F10="NEE",Tactisch!X10="ja"),AND(Tactisch!F11="NEE",Tactisch!X11="ja"), AND(Tactisch!F12="NEE",Tactisch!X12="ja")),Tactisch!D10&amp;", ","")
&amp;IF(AND(Tactisch!F13="NEE",Tactisch!X13="ja"),Tactisch!$D$13&amp;", ",)
&amp;IF(AND(Tactisch!F14="NEE",Tactisch!X14="ja"),Tactisch!$D$14&amp;", ",)
&amp;IF(AND(Tactisch!F17="NEE",Tactisch!X17="ja"),Tactisch!$D$17&amp;", ",)
&amp;IF(AND(Tactisch!F18="NEE",Tactisch!X18="ja"),Tactisch!$D$18&amp;", ",)
&amp;IF(AND(Tactisch!F19="NEE",Tactisch!X19="ja"),Tactisch!$D$19&amp;", ",)
&amp;IF(AND(Tactisch!F20="NEE",Tactisch!X20="ja"),Tactisch!$D$20&amp;", ",)
&amp;IF(AND(Tactisch!F21="NEE",Tactisch!X21="ja"),Tactisch!$D$21&amp;", ",)
&amp;IF(OR(AND(Tactisch!F22="NEE",Tactisch!X22="ja"),AND(Tactisch!F23="NEE",Tactisch!X23="ja")),Tactisch!D22&amp;", ","")
&amp;IF(AND(Tactisch!F24="NEE",Tactisch!X24="ja"),Tactisch!$D$24&amp;", ",)
&amp;IF(AND(Tactisch!F25="NEE",Tactisch!X25="ja"),Tactisch!$D$25&amp;", ",)
&amp;IF(AND(Tactisch!F26="NEE",Tactisch!X26="ja"),Tactisch!$D$26&amp;", ",)
&amp;IF(AND(Tactisch!F27="NEE",Tactisch!X27="ja"),Tactisch!$D$27&amp;", ",)
&amp;IF(AND(Tactisch!F28="NEE",Tactisch!X28="ja"),Tactisch!$D$28&amp;", ",)
&amp;IF(OR(AND(Tactisch!F29="NEE",Tactisch!X29="ja"),AND(Tactisch!F30="NEE",Tactisch!X30="ja")),Tactisch!D29&amp;", ","")
&amp;IF(AND(Tactisch!F31="NEE",Tactisch!X31="ja"),Tactisch!$D$31&amp;", ",)
&amp;IF(AND(Tactisch!F32="NEE",Tactisch!X32="ja"),Tactisch!$D$32&amp;", ",)
&amp;IF(AND(Tactisch!F33="NEE",Tactisch!X33="ja"),Tactisch!$D$33&amp;", ",)
&amp;IF(AND(Tactisch!F34="NEE",Tactisch!X34="ja"),Tactisch!$D$34&amp;", ",)
&amp;IF(OR(AND(Tactisch!F35="NEE",Tactisch!X35="ja"),AND(Tactisch!F36="NEE",Tactisch!X36="ja")),Tactisch!D35&amp;", ","")
&amp;IF(OR(AND(Tactisch!F37="NEE",Tactisch!X37="ja"),AND(Tactisch!F38="NEE",Tactisch!X38="ja"), AND(Tactisch!F39="NEE",Tactisch!X39="ja"),AND(Tactisch!F40="NEE",Tactisch!X40="ja")),Tactisch!D37&amp;", ","")
&amp;IF(OR(AND(Tactisch!F41="NEE",Tactisch!X41="ja"),AND(Tactisch!F42="NEE",Tactisch!X42="ja")),Tactisch!D41&amp;", ","")
&amp;IF(OR(AND(Tactisch!F43="NEE",Tactisch!X43="ja"),AND(Tactisch!F44="NEE",Tactisch!X44="ja")),Tactisch!D43&amp;", ","")
&amp;IF(AND(Tactisch!F46="NEE",Tactisch!X46="ja"),Tactisch!$D$46&amp;", ",)
&amp;IF(AND(Tactisch!F50="NEE",Tactisch!X50="ja"),Tactisch!$D$50&amp;", ",)
&amp;IF(AND(Tactisch!F51="NEE",Tactisch!X51="ja"),Tactisch!$D$51&amp;", ",)
&amp;IF(AND(Tactisch!F52="NEE",Tactisch!X52="ja"),Tactisch!$D$52&amp;", ",)
&amp;IF(AND(Tactisch!F53="NEE",Tactisch!X53="ja"),Tactisch!$D$53&amp;", ",)
&amp;IF(AND(Tactisch!F54="NEE",Tactisch!X54="ja"),Tactisch!$D$54&amp;", ",)
&amp;IF(AND(Tactisch!F55="NEE",Tactisch!X55="ja"),Tactisch!$D$55&amp;", ",)
&amp;IF(AND(Tactisch!F56="NEE",Tactisch!X56="ja"),Tactisch!$D$56&amp;", ",)
&amp;IF(AND(Tactisch!F57="NEE",Tactisch!X57="ja"),Tactisch!$D$57&amp;", ",)
&amp;IF(AND(Tactisch!F58="NEE",Tactisch!X58="ja"),Tactisch!$D$58&amp;", ",)
&amp;IF(AND(Tactisch!F59="NEE",Tactisch!X59="ja"),Tactisch!$D$59&amp;", ",)
&amp;IF(AND(Tactisch!F60="NEE",Tactisch!X60="ja"),Tactisch!$D$60&amp;", ",)</f>
        <v/>
      </c>
      <c r="N27" s="33" t="s">
        <v>53</v>
      </c>
      <c r="O27" s="74" t="s">
        <v>1</v>
      </c>
      <c r="Q27" s="166" t="str">
        <f t="shared" si="13"/>
        <v>Let op: Er zijn meer handvatten beschikbaar dan weergegeven. Advies is om eerste invulling te geven aan de nu weergegeven onderwerpen.</v>
      </c>
      <c r="R27" s="33" t="s">
        <v>327</v>
      </c>
      <c r="S27" s="74"/>
    </row>
    <row r="28" spans="2:19" ht="71.25" x14ac:dyDescent="0.45">
      <c r="B28" s="156">
        <f t="shared" si="1"/>
        <v>0</v>
      </c>
      <c r="C28" s="156" t="str">
        <f>IF(B28=1,SUM($B$4:B28),"Nvt")</f>
        <v>Nvt</v>
      </c>
      <c r="D28" s="79"/>
      <c r="E28" s="33" t="s">
        <v>294</v>
      </c>
      <c r="F28" s="33" t="s">
        <v>295</v>
      </c>
      <c r="G28" s="33" t="s">
        <v>296</v>
      </c>
      <c r="H28" s="74" t="s">
        <v>194</v>
      </c>
      <c r="I28" s="110" t="str">
        <f t="shared" si="12"/>
        <v>ShadowTrackr (Bron: VSSR)</v>
      </c>
      <c r="J28" s="33" t="str">
        <f t="shared" si="15"/>
        <v>https://www.ncsc.nl/soc/het-vertrekpunt-voor-een-soc#:~:text=ShadowTrackr</v>
      </c>
      <c r="L28" s="133" t="str">
        <f t="shared" si="3"/>
        <v>NEE</v>
      </c>
      <c r="M28" s="154" t="str">
        <f>IF(OR(AND(Tactisch!F10="NEE",Tactisch!Y10="ja"),AND(Tactisch!F11="NEE",Tactisch!Y11="ja"), AND(Tactisch!F12="NEE",Tactisch!Y12="ja")),Tactisch!D10&amp;", ","")
&amp;IF(AND(Tactisch!F13="NEE",Tactisch!Y13="ja"),Tactisch!$D$13&amp;", ",)
&amp;IF(AND(Tactisch!F14="NEE",Tactisch!Y14="ja"),Tactisch!$D$14&amp;", ",)
&amp;IF(AND(Tactisch!F17="NEE",Tactisch!Y17="ja"),Tactisch!$D$17&amp;", ",)
&amp;IF(AND(Tactisch!F18="NEE",Tactisch!Y18="ja"),Tactisch!$D$18&amp;", ",)
&amp;IF(AND(Tactisch!F19="NEE",Tactisch!Y19="ja"),Tactisch!$D$19&amp;", ",)
&amp;IF(AND(Tactisch!F20="NEE",Tactisch!Y20="ja"),Tactisch!$D$20&amp;", ",)
&amp;IF(AND(Tactisch!F21="NEE",Tactisch!Y21="ja"),Tactisch!$D$21&amp;", ",)
&amp;IF(OR(AND(Tactisch!F22="NEE",Tactisch!Y22="ja"),AND(Tactisch!F23="NEE",Tactisch!Y23="ja"), AND(Tactisch!F24="NEE",Tactisch!Y24="ja")),Tactisch!D22&amp;", ","")
&amp;IF(AND(Tactisch!F25="NEE",Tactisch!Y25="ja"),Tactisch!$D$25&amp;", ",)
&amp;IF(AND(Tactisch!F26="NEE",Tactisch!Y26="ja"),Tactisch!$D$26&amp;", ",)
&amp;IF(AND(Tactisch!F27="NEE",Tactisch!Y27="ja"),Tactisch!$D$27&amp;", ",)
&amp;IF(AND(Tactisch!F28="NEE",Tactisch!Y28="ja"),Tactisch!$D$28&amp;", ",)
&amp;IF(OR(AND(Tactisch!F29="NEE",Tactisch!Y29="ja"),AND(Tactisch!F30="NEE",Tactisch!Y30="ja")),Tactisch!D29&amp;", ","")
&amp;IF(AND(Tactisch!F31="NEE",Tactisch!Y31="ja"),Tactisch!$D$31&amp;", ",)
&amp;IF(AND(Tactisch!F32="NEE",Tactisch!Y32="ja"),Tactisch!$D$32&amp;", ",)
&amp;IF(AND(Tactisch!F33="NEE",Tactisch!Y33="ja"),Tactisch!$D$33&amp;", ",)
&amp;IF(AND(Tactisch!F34="NEE",Tactisch!Y34="ja"),Tactisch!$D$34&amp;", ",)
&amp;IF(OR(AND(Tactisch!F35="NEE",Tactisch!Y35="ja"),AND(Tactisch!F36="NEE",Tactisch!Y36="ja")),Tactisch!D35&amp;", ","")
&amp;IF(OR(AND(Tactisch!F37="NEE",Tactisch!Y37="ja"),AND(Tactisch!F38="NEE",Tactisch!Y38="ja"), AND(Tactisch!F39="NEE",Tactisch!Y39="ja"),AND(Tactisch!F40="NEE",Tactisch!Y40="ja")),Tactisch!D37&amp;", ","")
&amp;IF(OR(AND(Tactisch!F41="NEE",Tactisch!Y41="ja"),AND(Tactisch!F42="NEE",Tactisch!Y42="ja")),Tactisch!D41&amp;", ","")
&amp;IF(OR(AND(Tactisch!F43="NEE",Tactisch!Y43="ja"),AND(Tactisch!F44="NEE",Tactisch!Y44="ja")),Tactisch!D43&amp;", ","")
&amp;IF(AND(Tactisch!F46="NEE",Tactisch!Y46="ja"),Tactisch!$D$46&amp;", ",)
&amp;IF(AND(Tactisch!F50="NEE",Tactisch!Y50="ja"),Tactisch!$D$50&amp;", ",)
&amp;IF(AND(Tactisch!F51="NEE",Tactisch!Y51="ja"),Tactisch!$D$51&amp;", ",)
&amp;IF(AND(Tactisch!F52="NEE",Tactisch!Y52="ja"),Tactisch!$D$52&amp;", ",)
&amp;IF(AND(Tactisch!F53="NEE",Tactisch!Y53="ja"),Tactisch!$D$53&amp;", ",)
&amp;IF(AND(Tactisch!F54="NEE",Tactisch!Y54="ja"),Tactisch!$D$54&amp;", ",)
&amp;IF(AND(Tactisch!F55="NEE",Tactisch!Y55="ja"),Tactisch!$D$55&amp;", ",)
&amp;IF(AND(Tactisch!F56="NEE",Tactisch!Y56="ja"),Tactisch!$D$56&amp;", ",)
&amp;IF(AND(Tactisch!F57="NEE",Tactisch!Y57="ja"),Tactisch!$D$57&amp;", ",)
&amp;IF(AND(Tactisch!F58="NEE",Tactisch!Y58="ja"),Tactisch!$D$58&amp;", ",)
&amp;IF(AND(Tactisch!F59="NEE",Tactisch!Y59="ja"),Tactisch!$D$59&amp;", ",)
&amp;IF(AND(Tactisch!F60="NEE",Tactisch!Y60="ja"),Tactisch!$D$60&amp;", ",)</f>
        <v/>
      </c>
      <c r="N28" s="33" t="s">
        <v>53</v>
      </c>
      <c r="O28" s="74" t="s">
        <v>1</v>
      </c>
      <c r="Q28" s="166" t="str">
        <f t="shared" si="13"/>
        <v>Let op: Er zijn meer handvatten beschikbaar dan weergegeven. Advies is om eerste invulling te geven aan de nu weergegeven onderwerpen.</v>
      </c>
      <c r="R28" s="33" t="str">
        <f t="shared" ref="R28:R29" si="16">$R$4</f>
        <v>https://www.ncsc.nl/soc/het-vertrekpunt-voor-een-soc#:~:text=</v>
      </c>
      <c r="S28" s="74" t="s">
        <v>294</v>
      </c>
    </row>
    <row r="29" spans="2:19" ht="71.25" x14ac:dyDescent="0.45">
      <c r="B29" s="156">
        <f t="shared" si="1"/>
        <v>0</v>
      </c>
      <c r="C29" s="156" t="str">
        <f>IF(B29=1,SUM($B$4:B29),"Nvt")</f>
        <v>Nvt</v>
      </c>
      <c r="D29" s="79"/>
      <c r="E29" s="33" t="s">
        <v>370</v>
      </c>
      <c r="F29" s="33" t="s">
        <v>256</v>
      </c>
      <c r="G29" s="33" t="s">
        <v>253</v>
      </c>
      <c r="H29" s="33" t="s">
        <v>194</v>
      </c>
      <c r="I29" s="110" t="str">
        <f t="shared" si="12"/>
        <v>Strategische Aanbevelingen, onderdeel van "SOC Readiness Assistance" (Bron: VSSR)</v>
      </c>
      <c r="J29" s="33" t="str">
        <f t="shared" si="15"/>
        <v>https://www.ncsc.nl/soc/het-vertrekpunt-voor-een-soc#:~:text=SOC%20Strategische%20Aanbevelingen</v>
      </c>
      <c r="L29" s="133" t="str">
        <f t="shared" si="3"/>
        <v>NEE</v>
      </c>
      <c r="M29" s="154" t="str">
        <f>IF(OR(AND(Tactisch!F10="NEE",Tactisch!Z10="ja"),AND(Tactisch!F11="NEE",Tactisch!Z11="ja"), AND(Tactisch!F12="NEE",Tactisch!Z12="ja")),Tactisch!D10&amp;", ","")
&amp;IF(AND(Tactisch!F13="NEE",Tactisch!Z13="ja"),Tactisch!$D$13&amp;", ",)
&amp;IF(AND(Tactisch!F14="NEE",Tactisch!Z14="ja"),Tactisch!$D$14&amp;", ",)
&amp;IF(AND(Tactisch!F17="NEE",Tactisch!Z17="ja"),Tactisch!$D$17&amp;", ",)
&amp;IF(AND(Tactisch!F18="NEE",Tactisch!Z18="ja"),Tactisch!$D$18&amp;", ",)
&amp;IF(AND(Tactisch!F19="NEE",Tactisch!Z19="ja"),Tactisch!$D$19&amp;", ",)
&amp;IF(AND(Tactisch!F20="NEE",Tactisch!Z20="ja"),Tactisch!$D$20&amp;", ",)
&amp;IF(AND(Tactisch!F21="NEE",Tactisch!Z21="ja"),Tactisch!$D$21&amp;", ",)
&amp;IF(OR(AND(Tactisch!F22="NEE",Tactisch!Z22="ja"),AND(Tactisch!F23="NEE",Tactisch!Z23="ja"), AND(Tactisch!F24="NEE",Tactisch!Z24="ja")),Tactisch!D22&amp;", ","")
&amp;IF(AND(Tactisch!F25="NEE",Tactisch!Z25="ja"),Tactisch!$D$25&amp;", ",)
&amp;IF(AND(Tactisch!F26="NEE",Tactisch!Z26="ja"),Tactisch!$D$26&amp;", ",)
&amp;IF(AND(Tactisch!F27="NEE",Tactisch!Z27="ja"),Tactisch!$D$27&amp;", ",)
&amp;IF(AND(Tactisch!F28="NEE",Tactisch!Z28="ja"),Tactisch!$D$28&amp;", ",)
&amp;IF(OR(AND(Tactisch!F29="NEE",Tactisch!Z29="ja"),AND(Tactisch!F30="NEE",Tactisch!Z30="ja")),Tactisch!D29&amp;", ","")
&amp;IF(AND(Tactisch!F31="NEE",Tactisch!Z31="ja"),Tactisch!$D$31&amp;", ",)
&amp;IF(AND(Tactisch!F32="NEE",Tactisch!Z32="ja"),Tactisch!$D$32&amp;", ",)
&amp;IF(AND(Tactisch!F33="NEE",Tactisch!Z33="ja"),Tactisch!$D$33&amp;", ",)
&amp;IF(AND(Tactisch!F34="NEE",Tactisch!Z34="ja"),Tactisch!$D$34&amp;", ",)
&amp;IF(OR(AND(Tactisch!F35="NEE",Tactisch!Z35="ja"),AND(Tactisch!F36="NEE",Tactisch!Z36="ja")),Tactisch!D35&amp;", ","")
&amp;IF(OR(AND(Tactisch!F37="NEE",Tactisch!Z37="ja"),AND(Tactisch!F38="NEE",Tactisch!Z38="ja"), AND(Tactisch!F39="NEE",Tactisch!Z39="ja"),AND(Tactisch!F40="NEE",Tactisch!Z40="ja")),Tactisch!D37&amp;", ","")
&amp;IF(OR(AND(Tactisch!F41="NEE",Tactisch!Z41="ja"),AND(Tactisch!F42="NEE",Tactisch!Z42="ja")),Tactisch!D41&amp;", ","")
&amp;IF(OR(AND(Tactisch!F43="NEE",Tactisch!Z43="ja"),AND(Tactisch!F44="NEE",Tactisch!Z44="ja")),Tactisch!D43&amp;", ","")
&amp;IF(AND(Tactisch!F46="NEE",Tactisch!Z46="ja"),Tactisch!$D$46&amp;", ",)
&amp;IF(AND(Tactisch!F50="NEE",Tactisch!Z50="ja"),Tactisch!$D$50&amp;", ",)
&amp;IF(AND(Tactisch!F51="NEE",Tactisch!Z51="ja"),Tactisch!$D$51&amp;", ",)
&amp;IF(AND(Tactisch!F52="NEE",Tactisch!Z52="ja"),Tactisch!$D$52&amp;", ",)
&amp;IF(AND(Tactisch!F53="NEE",Tactisch!Z53="ja"),Tactisch!$D$53&amp;", ",)
&amp;IF(AND(Tactisch!F54="NEE",Tactisch!Z54="ja"),Tactisch!$D$54&amp;", ",)
&amp;IF(AND(Tactisch!F55="NEE",Tactisch!Z55="ja"),Tactisch!$D$55&amp;", ",)
&amp;IF(AND(Tactisch!F56="NEE",Tactisch!Z56="ja"),Tactisch!$D$56&amp;", ",)
&amp;IF(AND(Tactisch!F57="NEE",Tactisch!Z57="ja"),Tactisch!$D$57&amp;", ",)
&amp;IF(AND(Tactisch!F58="NEE",Tactisch!Z58="ja"),Tactisch!$D$58&amp;", ",)
&amp;IF(AND(Tactisch!F59="NEE",Tactisch!Z59="ja"),Tactisch!$D$59&amp;", ",)
&amp;IF(AND(Tactisch!F60="NEE",Tactisch!Z60="ja"),Tactisch!$D$60&amp;", ",)</f>
        <v/>
      </c>
      <c r="N29" s="33" t="s">
        <v>30</v>
      </c>
      <c r="O29" s="74" t="s">
        <v>1</v>
      </c>
      <c r="Q29" s="166" t="str">
        <f t="shared" si="13"/>
        <v>Let op: Er zijn meer handvatten beschikbaar dan weergegeven. Advies is om eerste invulling te geven aan de nu weergegeven onderwerpen.</v>
      </c>
      <c r="R29" s="33" t="str">
        <f t="shared" si="16"/>
        <v>https://www.ncsc.nl/soc/het-vertrekpunt-voor-een-soc#:~:text=</v>
      </c>
      <c r="S29" s="74" t="s">
        <v>359</v>
      </c>
    </row>
    <row r="30" spans="2:19" ht="71.25" x14ac:dyDescent="0.45">
      <c r="B30" s="156">
        <f t="shared" si="1"/>
        <v>0</v>
      </c>
      <c r="C30" s="156" t="str">
        <f>IF(B30=1,SUM($B$4:B30),"Nvt")</f>
        <v>Nvt</v>
      </c>
      <c r="D30" s="79"/>
      <c r="E30" s="33" t="s">
        <v>347</v>
      </c>
      <c r="F30" s="33"/>
      <c r="G30" s="33"/>
      <c r="H30" s="33"/>
      <c r="I30" s="110" t="str">
        <f t="shared" si="12"/>
        <v>Reserve (Bron: )</v>
      </c>
      <c r="J30" s="33" t="str">
        <f t="shared" ref="J30:J43" si="17">R30&amp;S30</f>
        <v/>
      </c>
      <c r="L30" s="133" t="str">
        <f t="shared" si="3"/>
        <v>NEE</v>
      </c>
      <c r="M30" s="154" t="str">
        <f>IF(OR(AND(Tactisch!F10="NEE",Tactisch!AA10="ja"),AND(Tactisch!F11="NEE",Tactisch!AA11="ja"), AND(Tactisch!F12="NEE",Tactisch!AA12="ja")),Tactisch!D10&amp;", ","")
&amp;IF(AND(Tactisch!F13="NEE",Tactisch!AA13="ja"),Tactisch!$D$13&amp;", ",)
&amp;IF(AND(Tactisch!F14="NEE",Tactisch!AA14="ja"),Tactisch!$D$14&amp;", ",)
&amp;IF(AND(Tactisch!F17="NEE",Tactisch!AA17="ja"),Tactisch!$D$17&amp;", ",)
&amp;IF(AND(Tactisch!F18="NEE",Tactisch!AA18="ja"),Tactisch!$D$18&amp;", ",)
&amp;IF(AND(Tactisch!F19="NEE",Tactisch!AA19="ja"),Tactisch!$D$19&amp;", ",)
&amp;IF(AND(Tactisch!F20="NEE",Tactisch!AA20="ja"),Tactisch!$D$20&amp;", ",)
&amp;IF(AND(Tactisch!F21="NEE",Tactisch!AA21="ja"),Tactisch!$D$21&amp;", ",)
&amp;IF(OR(AND(Tactisch!F22="NEE",Tactisch!AA22="ja"),AND(Tactisch!F23="NEE",Tactisch!AA23="ja"), AND(Tactisch!F24="NEE",Tactisch!AA24="ja")),Tactisch!D22&amp;", ","")
&amp;IF(AND(Tactisch!F25="NEE",Tactisch!AA25="ja"),Tactisch!$D$25&amp;", ",)
&amp;IF(AND(Tactisch!F26="NEE",Tactisch!AA26="ja"),Tactisch!$D$26&amp;", ",)
&amp;IF(AND(Tactisch!F27="NEE",Tactisch!AA27="ja"),Tactisch!$D$27&amp;", ",)
&amp;IF(AND(Tactisch!F28="NEE",Tactisch!AA28="ja"),Tactisch!$D$28&amp;", ",)
&amp;IF(OR(AND(Tactisch!F29="NEE",Tactisch!AA29="ja"),AND(Tactisch!F30="NEE",Tactisch!AA30="ja")),Tactisch!D29&amp;", ","")
&amp;IF(AND(Tactisch!F31="NEE",Tactisch!AA31="ja"),Tactisch!$D$31&amp;", ",)
&amp;IF(AND(Tactisch!F32="NEE",Tactisch!AA32="ja"),Tactisch!$D$32&amp;", ",)
&amp;IF(AND(Tactisch!F33="NEE",Tactisch!AA33="ja"),Tactisch!$D$33&amp;", ",)
&amp;IF(AND(Tactisch!F34="NEE",Tactisch!AA34="ja"),Tactisch!$D$34&amp;", ",)
&amp;IF(OR(AND(Tactisch!F35="NEE",Tactisch!AA35="ja"),AND(Tactisch!F36="NEE",Tactisch!AA36="ja")),Tactisch!D35&amp;", ","")
&amp;IF(OR(AND(Tactisch!F37="NEE",Tactisch!AA37="ja"),AND(Tactisch!F38="NEE",Tactisch!AA38="ja"), AND(Tactisch!F39="NEE",Tactisch!AA39="ja"),AND(Tactisch!F40="NEE",Tactisch!AA40="ja")),Tactisch!D37&amp;", ","")
&amp;IF(OR(AND(Tactisch!F41="NEE",Tactisch!AA41="ja"),AND(Tactisch!F42="NEE",Tactisch!AA42="ja")),Tactisch!D41&amp;", ","")
&amp;IF(OR(AND(Tactisch!F43="NEE",Tactisch!AA43="ja"),AND(Tactisch!F44="NEE",Tactisch!AA44="ja")),Tactisch!D43&amp;", ","")
&amp;IF(AND(Tactisch!F46="NEE",Tactisch!AA46="ja"),Tactisch!$D$46&amp;", ",)
&amp;IF(AND(Tactisch!F50="NEE",Tactisch!AA50="ja"),Tactisch!$D$50&amp;", ",)
&amp;IF(AND(Tactisch!F51="NEE",Tactisch!AA51="ja"),Tactisch!$D$51&amp;", ",)
&amp;IF(AND(Tactisch!F52="NEE",Tactisch!AA52="ja"),Tactisch!$D$52&amp;", ",)
&amp;IF(AND(Tactisch!F53="NEE",Tactisch!AA53="ja"),Tactisch!$D$53&amp;", ",)
&amp;IF(AND(Tactisch!F54="NEE",Tactisch!AA54="ja"),Tactisch!$D$54&amp;", ",)
&amp;IF(AND(Tactisch!F55="NEE",Tactisch!AA55="ja"),Tactisch!$D$55&amp;", ",)
&amp;IF(AND(Tactisch!F56="NEE",Tactisch!AA56="ja"),Tactisch!$D$56&amp;", ",)
&amp;IF(AND(Tactisch!F57="NEE",Tactisch!AA57="ja"),Tactisch!$D$57&amp;", ",)
&amp;IF(AND(Tactisch!F58="NEE",Tactisch!AA58="ja"),Tactisch!$D$58&amp;", ",)
&amp;IF(AND(Tactisch!F59="NEE",Tactisch!AA59="ja"),Tactisch!$D$59&amp;", ",)
&amp;IF(AND(Tactisch!F60="NEE",Tactisch!AA60="ja"),Tactisch!$D$60&amp;", ",)</f>
        <v/>
      </c>
      <c r="N30" s="33"/>
      <c r="O30" s="74" t="s">
        <v>1</v>
      </c>
      <c r="Q30" s="166" t="str">
        <f t="shared" si="13"/>
        <v>Let op: Er zijn meer handvatten beschikbaar dan weergegeven. Advies is om eerste invulling te geven aan de nu weergegeven onderwerpen.</v>
      </c>
      <c r="R30" s="28"/>
      <c r="S30" s="74"/>
    </row>
    <row r="31" spans="2:19" ht="71.25" x14ac:dyDescent="0.45">
      <c r="B31" s="156">
        <f t="shared" si="1"/>
        <v>0</v>
      </c>
      <c r="C31" s="156" t="str">
        <f>IF(B31=1,SUM($B$4:B31),"Nvt")</f>
        <v>Nvt</v>
      </c>
      <c r="D31" s="79"/>
      <c r="E31" s="33" t="s">
        <v>347</v>
      </c>
      <c r="F31" s="33"/>
      <c r="G31" s="33"/>
      <c r="H31" s="33"/>
      <c r="I31" s="110" t="str">
        <f t="shared" si="12"/>
        <v>Reserve (Bron: )</v>
      </c>
      <c r="J31" s="33" t="str">
        <f t="shared" si="17"/>
        <v/>
      </c>
      <c r="L31" s="133" t="str">
        <f t="shared" si="3"/>
        <v>NEE</v>
      </c>
      <c r="M31" s="154" t="str">
        <f>IF(OR(AND(Tactisch!F10="NEE",Tactisch!AB10="ja"),AND(Tactisch!F11="NEE",Tactisch!AB11="ja"), AND(Tactisch!F12="NEE",Tactisch!AB12="ja")),Tactisch!D10&amp;", ","")
&amp;IF(AND(Tactisch!F13="NEE",Tactisch!AB13="ja"),Tactisch!$D$13&amp;", ",)
&amp;IF(AND(Tactisch!F14="NEE",Tactisch!AB14="ja"),Tactisch!$D$14&amp;", ",)
&amp;IF(AND(Tactisch!F17="NEE",Tactisch!AB17="ja"),Tactisch!$D$17&amp;", ",)
&amp;IF(AND(Tactisch!F18="NEE",Tactisch!AB18="ja"),Tactisch!$D$18&amp;", ",)
&amp;IF(AND(Tactisch!F19="NEE",Tactisch!AB19="ja"),Tactisch!$D$19&amp;", ",)
&amp;IF(AND(Tactisch!F20="NEE",Tactisch!AB20="ja"),Tactisch!$D$20&amp;", ",)
&amp;IF(AND(Tactisch!F21="NEE",Tactisch!AB21="ja"),Tactisch!$D$21&amp;", ",)
&amp;IF(OR(AND(Tactisch!F22="NEE",Tactisch!AB22="ja"),AND(Tactisch!F23="NEE",Tactisch!AB23="ja"), AND(Tactisch!F24="NEE",Tactisch!AB24="ja")),Tactisch!D22&amp;", ","")
&amp;IF(AND(Tactisch!F25="NEE",Tactisch!AB25="ja"),Tactisch!$D$25&amp;", ",)
&amp;IF(AND(Tactisch!F26="NEE",Tactisch!AB26="ja"),Tactisch!$D$26&amp;", ",)
&amp;IF(AND(Tactisch!F27="NEE",Tactisch!AB27="ja"),Tactisch!$D$27&amp;", ",)
&amp;IF(AND(Tactisch!F28="NEE",Tactisch!AB28="ja"),Tactisch!$D$28&amp;", ",)
&amp;IF(OR(AND(Tactisch!F29="NEE",Tactisch!AB29="ja"),AND(Tactisch!F30="NEE",Tactisch!AB30="ja")),Tactisch!D29&amp;", ","")
&amp;IF(AND(Tactisch!F31="NEE",Tactisch!AB31="ja"),Tactisch!$D$31&amp;", ",)
&amp;IF(AND(Tactisch!F32="NEE",Tactisch!AB32="ja"),Tactisch!$D$32&amp;", ",)
&amp;IF(AND(Tactisch!F33="NEE",Tactisch!AB33="ja"),Tactisch!$D$33&amp;", ",)
&amp;IF(AND(Tactisch!F34="NEE",Tactisch!AB34="ja"),Tactisch!$D$34&amp;", ",)
&amp;IF(OR(AND(Tactisch!F35="NEE",Tactisch!AB35="ja"),AND(Tactisch!F36="NEE",Tactisch!AB36="ja")),Tactisch!D35&amp;", ","")
&amp;IF(OR(AND(Tactisch!F37="NEE",Tactisch!AB37="ja"),AND(Tactisch!F38="NEE",Tactisch!AB38="ja"), AND(Tactisch!F39="NEE",Tactisch!AB39="ja"),AND(Tactisch!F40="NEE",Tactisch!AB40="ja")),Tactisch!D37&amp;", ","")
&amp;IF(OR(AND(Tactisch!F41="NEE",Tactisch!AB41="ja"),AND(Tactisch!F42="NEE",Tactisch!AB42="ja")),Tactisch!D41&amp;", ","")
&amp;IF(OR(AND(Tactisch!F43="NEE",Tactisch!AB43="ja"),AND(Tactisch!F44="NEE",Tactisch!AB44="ja")),Tactisch!D43&amp;", ","")
&amp;IF(AND(Tactisch!F46="NEE",Tactisch!AB46="ja"),Tactisch!$D$46&amp;", ",)
&amp;IF(AND(Tactisch!F50="NEE",Tactisch!AB50="ja"),Tactisch!$D$50&amp;", ",)
&amp;IF(AND(Tactisch!F51="NEE",Tactisch!AB51="ja"),Tactisch!$D$51&amp;", ",)
&amp;IF(AND(Tactisch!F52="NEE",Tactisch!AB52="ja"),Tactisch!$D$52&amp;", ",)
&amp;IF(AND(Tactisch!F53="NEE",Tactisch!AB53="ja"),Tactisch!$D$53&amp;", ",)
&amp;IF(AND(Tactisch!F54="NEE",Tactisch!AB54="ja"),Tactisch!$D$54&amp;", ",)
&amp;IF(AND(Tactisch!F55="NEE",Tactisch!AB55="ja"),Tactisch!$D$55&amp;", ",)
&amp;IF(AND(Tactisch!F56="NEE",Tactisch!AB56="ja"),Tactisch!$D$56&amp;", ",)
&amp;IF(AND(Tactisch!F57="NEE",Tactisch!AB57="ja"),Tactisch!$D$57&amp;", ",)
&amp;IF(AND(Tactisch!F58="NEE",Tactisch!AB58="ja"),Tactisch!$D$58&amp;", ",)
&amp;IF(AND(Tactisch!F59="NEE",Tactisch!AB59="ja"),Tactisch!$D$59&amp;", ",)
&amp;IF(AND(Tactisch!F60="NEE",Tactisch!AB60="ja"),Tactisch!$D$60&amp;", ",)</f>
        <v/>
      </c>
      <c r="N31" s="33"/>
      <c r="O31" s="74" t="s">
        <v>1</v>
      </c>
      <c r="Q31" s="166" t="str">
        <f t="shared" si="13"/>
        <v>Let op: Er zijn meer handvatten beschikbaar dan weergegeven. Advies is om eerste invulling te geven aan de nu weergegeven onderwerpen.</v>
      </c>
      <c r="R31" s="28"/>
      <c r="S31" s="74"/>
    </row>
    <row r="32" spans="2:19" ht="71.25" x14ac:dyDescent="0.45">
      <c r="B32" s="156">
        <f t="shared" si="1"/>
        <v>0</v>
      </c>
      <c r="C32" s="156" t="str">
        <f>IF(B32=1,SUM($B$4:B32),"Nvt")</f>
        <v>Nvt</v>
      </c>
      <c r="D32" s="79"/>
      <c r="E32" s="33" t="s">
        <v>347</v>
      </c>
      <c r="F32" s="33"/>
      <c r="G32" s="33"/>
      <c r="H32" s="33"/>
      <c r="I32" s="110" t="str">
        <f t="shared" si="12"/>
        <v>Reserve (Bron: )</v>
      </c>
      <c r="J32" s="33" t="str">
        <f t="shared" si="17"/>
        <v/>
      </c>
      <c r="L32" s="133" t="str">
        <f t="shared" si="3"/>
        <v>NEE</v>
      </c>
      <c r="M32" s="154" t="str">
        <f>IF(OR(AND(Tactisch!F10="NEE",Tactisch!AC10="ja"),AND(Tactisch!F11="NEE",Tactisch!AC11="ja"), AND(Tactisch!F12="NEE",Tactisch!AC12="ja")),Tactisch!D10&amp;", ","")
&amp;IF(AND(Tactisch!F13="NEE",Tactisch!AC13="ja"),Tactisch!$D$13&amp;", ",)
&amp;IF(AND(Tactisch!F14="NEE",Tactisch!AC14="ja"),Tactisch!$D$14&amp;", ",)
&amp;IF(AND(Tactisch!F17="NEE",Tactisch!AC17="ja"),Tactisch!$D$17&amp;", ",)
&amp;IF(AND(Tactisch!F18="NEE",Tactisch!AC18="ja"),Tactisch!$D$18&amp;", ",)
&amp;IF(AND(Tactisch!F19="NEE",Tactisch!AC19="ja"),Tactisch!$D$19&amp;", ",)
&amp;IF(AND(Tactisch!F20="NEE",Tactisch!AC20="ja"),Tactisch!$D$20&amp;", ",)
&amp;IF(AND(Tactisch!F21="NEE",Tactisch!AC21="ja"),Tactisch!$D$21&amp;", ",)
&amp;IF(OR(AND(Tactisch!F22="NEE",Tactisch!AC22="ja"),AND(Tactisch!F23="NEE",Tactisch!AC23="ja"), AND(Tactisch!F24="NEE",Tactisch!AC24="ja")),Tactisch!D22&amp;", ","")
&amp;IF(AND(Tactisch!F25="NEE",Tactisch!AC25="ja"),Tactisch!$D$25&amp;", ",)
&amp;IF(AND(Tactisch!F26="NEE",Tactisch!AC26="ja"),Tactisch!$D$26&amp;", ",)
&amp;IF(AND(Tactisch!F27="NEE",Tactisch!AC27="ja"),Tactisch!$D$27&amp;", ",)
&amp;IF(AND(Tactisch!F28="NEE",Tactisch!AC28="ja"),Tactisch!$D$28&amp;", ",)
&amp;IF(OR(AND(Tactisch!F29="NEE",Tactisch!AC29="ja"),AND(Tactisch!F30="NEE",Tactisch!AC30="ja")),Tactisch!D29&amp;", ","")
&amp;IF(AND(Tactisch!F31="NEE",Tactisch!AC31="ja"),Tactisch!$D$31&amp;", ",)
&amp;IF(AND(Tactisch!F32="NEE",Tactisch!AC32="ja"),Tactisch!$D$32&amp;", ",)
&amp;IF(AND(Tactisch!F33="NEE",Tactisch!AC33="ja"),Tactisch!$D$33&amp;", ",)
&amp;IF(AND(Tactisch!F34="NEE",Tactisch!AC34="ja"),Tactisch!$D$34&amp;", ",)
&amp;IF(OR(AND(Tactisch!F35="NEE",Tactisch!AC35="ja"),AND(Tactisch!F36="NEE",Tactisch!AC36="ja")),Tactisch!D35&amp;", ","")
&amp;IF(OR(AND(Tactisch!F37="NEE",Tactisch!AC37="ja"),AND(Tactisch!F38="NEE",Tactisch!AC38="ja"), AND(Tactisch!F39="NEE",Tactisch!AC39="ja"),AND(Tactisch!F40="NEE",Tactisch!AC40="ja")),Tactisch!D37&amp;", ","")
&amp;IF(OR(AND(Tactisch!F41="NEE",Tactisch!AC41="ja"),AND(Tactisch!F42="NEE",Tactisch!AC42="ja")),Tactisch!D41&amp;", ","")
&amp;IF(OR(AND(Tactisch!F43="NEE",Tactisch!AC43="ja"),AND(Tactisch!F44="NEE",Tactisch!AC44="ja")),Tactisch!D43&amp;", ","")
&amp;IF(AND(Tactisch!F46="NEE",Tactisch!AC46="ja"),Tactisch!$D$46&amp;", ",)
&amp;IF(AND(Tactisch!F50="NEE",Tactisch!AC50="ja"),Tactisch!$D$50&amp;", ",)
&amp;IF(AND(Tactisch!F51="NEE",Tactisch!AC51="ja"),Tactisch!$D$51&amp;", ",)
&amp;IF(AND(Tactisch!F52="NEE",Tactisch!AC52="ja"),Tactisch!$D$52&amp;", ",)
&amp;IF(AND(Tactisch!F53="NEE",Tactisch!AC53="ja"),Tactisch!$D$53&amp;", ",)
&amp;IF(AND(Tactisch!F54="NEE",Tactisch!AC54="ja"),Tactisch!$D$54&amp;", ",)
&amp;IF(AND(Tactisch!F55="NEE",Tactisch!AC55="ja"),Tactisch!$D$55&amp;", ",)
&amp;IF(AND(Tactisch!F56="NEE",Tactisch!AC56="ja"),Tactisch!$D$56&amp;", ",)
&amp;IF(AND(Tactisch!F57="NEE",Tactisch!AC57="ja"),Tactisch!$D$57&amp;", ",)
&amp;IF(AND(Tactisch!F58="NEE",Tactisch!AC58="ja"),Tactisch!$D$58&amp;", ",)
&amp;IF(AND(Tactisch!F59="NEE",Tactisch!AC59="ja"),Tactisch!$D$59&amp;", ",)
&amp;IF(AND(Tactisch!F60="NEE",Tactisch!AC60="ja"),Tactisch!$D$60&amp;", ",)</f>
        <v/>
      </c>
      <c r="N32" s="33"/>
      <c r="O32" s="74" t="s">
        <v>1</v>
      </c>
      <c r="Q32" s="166" t="str">
        <f t="shared" si="13"/>
        <v>Let op: Er zijn meer handvatten beschikbaar dan weergegeven. Advies is om eerste invulling te geven aan de nu weergegeven onderwerpen.</v>
      </c>
      <c r="R32" s="28"/>
      <c r="S32" s="74"/>
    </row>
    <row r="33" spans="2:19" ht="71.25" x14ac:dyDescent="0.45">
      <c r="B33" s="156">
        <f t="shared" si="1"/>
        <v>0</v>
      </c>
      <c r="C33" s="156" t="str">
        <f>IF(B33=1,SUM($B$4:B33),"Nvt")</f>
        <v>Nvt</v>
      </c>
      <c r="D33" s="79"/>
      <c r="E33" s="33" t="s">
        <v>347</v>
      </c>
      <c r="F33" s="33"/>
      <c r="G33" s="33"/>
      <c r="H33" s="33"/>
      <c r="I33" s="110" t="str">
        <f t="shared" si="12"/>
        <v>Reserve (Bron: )</v>
      </c>
      <c r="J33" s="33" t="str">
        <f t="shared" si="17"/>
        <v/>
      </c>
      <c r="L33" s="133" t="str">
        <f t="shared" si="3"/>
        <v>NEE</v>
      </c>
      <c r="M33" s="154" t="str">
        <f>IF(OR(AND(Tactisch!F10="NEE",Tactisch!AD10="ja"),AND(Tactisch!F11="NEE",Tactisch!AD11="ja"), AND(Tactisch!F12="NEE",Tactisch!AD12="ja")),Tactisch!D10&amp;", ","")
&amp;IF(AND(Tactisch!F13="NEE",Tactisch!AD13="ja"),Tactisch!$D$13&amp;", ",)
&amp;IF(AND(Tactisch!F14="NEE",Tactisch!AD14="ja"),Tactisch!$D$14&amp;", ",)
&amp;IF(AND(Tactisch!F17="NEE",Tactisch!AD17="ja"),Tactisch!$D$17&amp;", ",)
&amp;IF(AND(Tactisch!F18="NEE",Tactisch!AD18="ja"),Tactisch!$D$18&amp;", ",)
&amp;IF(AND(Tactisch!F19="NEE",Tactisch!AD19="ja"),Tactisch!$D$19&amp;", ",)
&amp;IF(AND(Tactisch!F20="NEE",Tactisch!AD20="ja"),Tactisch!$D$20&amp;", ",)
&amp;IF(AND(Tactisch!F21="NEE",Tactisch!AD21="ja"),Tactisch!$D$21&amp;", ",)
&amp;IF(OR(AND(Tactisch!F22="NEE",Tactisch!AD22="ja"),AND(Tactisch!F23="NEE",Tactisch!AD23="ja"), AND(Tactisch!F24="NEE",Tactisch!AD24="ja")),Tactisch!D22&amp;", ","")
&amp;IF(AND(Tactisch!F25="NEE",Tactisch!AD25="ja"),Tactisch!$D$25&amp;", ",)
&amp;IF(AND(Tactisch!F26="NEE",Tactisch!AD26="ja"),Tactisch!$D$26&amp;", ",)
&amp;IF(AND(Tactisch!F27="NEE",Tactisch!AD27="ja"),Tactisch!$D$27&amp;", ",)
&amp;IF(AND(Tactisch!F28="NEE",Tactisch!AD28="ja"),Tactisch!$D$28&amp;", ",)
&amp;IF(OR(AND(Tactisch!F29="NEE",Tactisch!AD29="ja"),AND(Tactisch!F30="NEE",Tactisch!AD30="ja")),Tactisch!D29&amp;", ","")
&amp;IF(AND(Tactisch!F31="NEE",Tactisch!AD31="ja"),Tactisch!$D$31&amp;", ",)
&amp;IF(AND(Tactisch!F32="NEE",Tactisch!AD32="ja"),Tactisch!$D$32&amp;", ",)
&amp;IF(AND(Tactisch!F33="NEE",Tactisch!AD33="ja"),Tactisch!$D$33&amp;", ",)
&amp;IF(AND(Tactisch!F34="NEE",Tactisch!AD34="ja"),Tactisch!$D$34&amp;", ",)
&amp;IF(OR(AND(Tactisch!F35="NEE",Tactisch!AD35="ja"),AND(Tactisch!F36="NEE",Tactisch!AD36="ja")),Tactisch!D35&amp;", ","")
&amp;IF(OR(AND(Tactisch!F37="NEE",Tactisch!AD37="ja"),AND(Tactisch!F38="NEE",Tactisch!AD38="ja"), AND(Tactisch!F39="NEE",Tactisch!AD39="ja"),AND(Tactisch!F40="NEE",Tactisch!AD40="ja")),Tactisch!D37&amp;", ","")
&amp;IF(OR(AND(Tactisch!F41="NEE",Tactisch!AD41="ja"),AND(Tactisch!F42="NEE",Tactisch!AD42="ja")),Tactisch!D41&amp;", ","")
&amp;IF(OR(AND(Tactisch!F43="NEE",Tactisch!AD43="ja"),AND(Tactisch!F44="NEE",Tactisch!AD44="ja")),Tactisch!D43&amp;", ","")
&amp;IF(AND(Tactisch!F46="NEE",Tactisch!AD46="ja"),Tactisch!$D$46&amp;", ",)
&amp;IF(AND(Tactisch!F50="NEE",Tactisch!AD50="ja"),Tactisch!$D$50&amp;", ",)
&amp;IF(AND(Tactisch!F51="NEE",Tactisch!AD51="ja"),Tactisch!$D$51&amp;", ",)
&amp;IF(AND(Tactisch!F52="NEE",Tactisch!AD52="ja"),Tactisch!$D$52&amp;", ",)
&amp;IF(AND(Tactisch!F53="NEE",Tactisch!AD53="ja"),Tactisch!$D$53&amp;", ",)
&amp;IF(AND(Tactisch!F54="NEE",Tactisch!AD54="ja"),Tactisch!$D$54&amp;", ",)
&amp;IF(AND(Tactisch!F55="NEE",Tactisch!AD55="ja"),Tactisch!$D$55&amp;", ",)
&amp;IF(AND(Tactisch!F56="NEE",Tactisch!AD56="ja"),Tactisch!$D$56&amp;", ",)
&amp;IF(AND(Tactisch!F57="NEE",Tactisch!AD57="ja"),Tactisch!$D$57&amp;", ",)
&amp;IF(AND(Tactisch!F58="NEE",Tactisch!AD58="ja"),Tactisch!$D$58&amp;", ",)
&amp;IF(AND(Tactisch!F59="NEE",Tactisch!AD59="ja"),Tactisch!$D$59&amp;", ",)
&amp;IF(AND(Tactisch!F60="NEE",Tactisch!AD60="ja"),Tactisch!$D$60&amp;", ",)</f>
        <v/>
      </c>
      <c r="N33" s="33"/>
      <c r="O33" s="74" t="s">
        <v>1</v>
      </c>
      <c r="Q33" s="166" t="str">
        <f t="shared" si="13"/>
        <v>Let op: Er zijn meer handvatten beschikbaar dan weergegeven. Advies is om eerste invulling te geven aan de nu weergegeven onderwerpen.</v>
      </c>
      <c r="R33" s="28"/>
      <c r="S33" s="74"/>
    </row>
    <row r="34" spans="2:19" ht="71.25" x14ac:dyDescent="0.45">
      <c r="B34" s="156">
        <f t="shared" si="1"/>
        <v>0</v>
      </c>
      <c r="C34" s="156" t="str">
        <f>IF(B34=1,SUM($B$4:B34),"Nvt")</f>
        <v>Nvt</v>
      </c>
      <c r="D34" s="79"/>
      <c r="E34" s="33" t="s">
        <v>347</v>
      </c>
      <c r="F34" s="33"/>
      <c r="G34" s="33"/>
      <c r="H34" s="33"/>
      <c r="I34" s="110" t="str">
        <f t="shared" si="12"/>
        <v>Reserve (Bron: )</v>
      </c>
      <c r="J34" s="33" t="str">
        <f t="shared" si="17"/>
        <v/>
      </c>
      <c r="L34" s="133" t="str">
        <f t="shared" si="3"/>
        <v>NEE</v>
      </c>
      <c r="M34" s="154" t="str">
        <f>IF(OR(AND(Tactisch!F10="NEE",Tactisch!AE10="ja"),AND(Tactisch!F11="NEE",Tactisch!AE11="ja"), AND(Tactisch!F12="NEE",Tactisch!AE12="ja")),Tactisch!D10&amp;", ","")
&amp;IF(AND(Tactisch!F13="NEE",Tactisch!AE13="ja"),Tactisch!$D$13&amp;", ",)
&amp;IF(AND(Tactisch!F14="NEE",Tactisch!AE14="ja"),Tactisch!$D$14&amp;", ",)
&amp;IF(AND(Tactisch!F17="NEE",Tactisch!AE17="ja"),Tactisch!$D$17&amp;", ",)
&amp;IF(AND(Tactisch!F18="NEE",Tactisch!AE18="ja"),Tactisch!$D$18&amp;", ",)
&amp;IF(AND(Tactisch!F19="NEE",Tactisch!AE19="ja"),Tactisch!$D$19&amp;", ",)
&amp;IF(AND(Tactisch!F20="NEE",Tactisch!AE20="ja"),Tactisch!$D$20&amp;", ",)
&amp;IF(AND(Tactisch!F21="NEE",Tactisch!AE21="ja"),Tactisch!$D$21&amp;", ",)
&amp;IF(OR(AND(Tactisch!F22="NEE",Tactisch!AE22="ja"),AND(Tactisch!F23="NEE",Tactisch!AE23="ja"), AND(Tactisch!F24="NEE",Tactisch!AE24="ja")),Tactisch!D22&amp;", ","")
&amp;IF(AND(Tactisch!F25="NEE",Tactisch!AE25="ja"),Tactisch!$D$25&amp;", ",)
&amp;IF(AND(Tactisch!F26="NEE",Tactisch!AE26="ja"),Tactisch!$D$26&amp;", ",)
&amp;IF(AND(Tactisch!F27="NEE",Tactisch!AE27="ja"),Tactisch!$D$27&amp;", ",)
&amp;IF(AND(Tactisch!F28="NEE",Tactisch!AE28="ja"),Tactisch!$D$28&amp;", ",)
&amp;IF(OR(AND(Tactisch!F29="NEE",Tactisch!AE29="ja"),AND(Tactisch!F30="NEE",Tactisch!AE30="ja")),Tactisch!D29&amp;", ","")
&amp;IF(AND(Tactisch!F31="NEE",Tactisch!AE31="ja"),Tactisch!$D$31&amp;", ",)
&amp;IF(AND(Tactisch!F32="NEE",Tactisch!AE32="ja"),Tactisch!$D$32&amp;", ",)
&amp;IF(AND(Tactisch!F33="NEE",Tactisch!AE33="ja"),Tactisch!$D$33&amp;", ",)
&amp;IF(AND(Tactisch!F34="NEE",Tactisch!AE34="ja"),Tactisch!$D$34&amp;", ",)
&amp;IF(OR(AND(Tactisch!F35="NEE",Tactisch!AE35="ja"),AND(Tactisch!F36="NEE",Tactisch!AE36="ja")),Tactisch!D35&amp;", ","")
&amp;IF(OR(AND(Tactisch!F37="NEE",Tactisch!AE37="ja"),AND(Tactisch!F38="NEE",Tactisch!AE38="ja"), AND(Tactisch!F39="NEE",Tactisch!AE39="ja"),AND(Tactisch!F40="NEE",Tactisch!AE40="ja")),Tactisch!D37&amp;", ","")
&amp;IF(OR(AND(Tactisch!F41="NEE",Tactisch!AE41="ja"),AND(Tactisch!F42="NEE",Tactisch!AE42="ja")),Tactisch!D41&amp;", ","")
&amp;IF(OR(AND(Tactisch!F43="NEE",Tactisch!AE43="ja"),AND(Tactisch!F44="NEE",Tactisch!AE44="ja")),Tactisch!D43&amp;", ","")
&amp;IF(AND(Tactisch!F46="NEE",Tactisch!AE46="ja"),Tactisch!$D$46&amp;", ",)
&amp;IF(AND(Tactisch!F50="NEE",Tactisch!AE50="ja"),Tactisch!$D$50&amp;", ",)
&amp;IF(AND(Tactisch!F51="NEE",Tactisch!AE51="ja"),Tactisch!$D$51&amp;", ",)
&amp;IF(AND(Tactisch!F52="NEE",Tactisch!AE52="ja"),Tactisch!$D$52&amp;", ",)
&amp;IF(AND(Tactisch!F53="NEE",Tactisch!AE53="ja"),Tactisch!$D$53&amp;", ",)
&amp;IF(AND(Tactisch!F54="NEE",Tactisch!AE54="ja"),Tactisch!$D$54&amp;", ",)
&amp;IF(AND(Tactisch!F55="NEE",Tactisch!AE55="ja"),Tactisch!$D$55&amp;", ",)
&amp;IF(AND(Tactisch!F56="NEE",Tactisch!AE56="ja"),Tactisch!$D$56&amp;", ",)
&amp;IF(AND(Tactisch!F57="NEE",Tactisch!AE57="ja"),Tactisch!$D$57&amp;", ",)
&amp;IF(AND(Tactisch!F58="NEE",Tactisch!AE58="ja"),Tactisch!$D$58&amp;", ",)
&amp;IF(AND(Tactisch!F59="NEE",Tactisch!AE59="ja"),Tactisch!$D$59&amp;", ",)
&amp;IF(AND(Tactisch!F60="NEE",Tactisch!AE60="ja"),Tactisch!$D$60&amp;", ",)</f>
        <v/>
      </c>
      <c r="N34" s="33"/>
      <c r="O34" s="74" t="s">
        <v>1</v>
      </c>
      <c r="Q34" s="166" t="str">
        <f t="shared" si="13"/>
        <v>Let op: Er zijn meer handvatten beschikbaar dan weergegeven. Advies is om eerste invulling te geven aan de nu weergegeven onderwerpen.</v>
      </c>
      <c r="R34" s="28"/>
      <c r="S34" s="74"/>
    </row>
    <row r="35" spans="2:19" ht="71.25" x14ac:dyDescent="0.45">
      <c r="B35" s="156">
        <f t="shared" si="1"/>
        <v>0</v>
      </c>
      <c r="C35" s="156" t="str">
        <f>IF(B35=1,SUM($B$4:B35),"Nvt")</f>
        <v>Nvt</v>
      </c>
      <c r="D35" s="79"/>
      <c r="E35" s="33" t="s">
        <v>347</v>
      </c>
      <c r="F35" s="33"/>
      <c r="G35" s="33"/>
      <c r="H35" s="33"/>
      <c r="I35" s="110" t="str">
        <f t="shared" si="12"/>
        <v>Reserve (Bron: )</v>
      </c>
      <c r="J35" s="33" t="str">
        <f t="shared" si="17"/>
        <v/>
      </c>
      <c r="L35" s="133" t="str">
        <f t="shared" si="3"/>
        <v>NEE</v>
      </c>
      <c r="M35" s="154" t="str">
        <f>IF(OR(AND(Tactisch!F10="NEE",Tactisch!AF10="ja"),AND(Tactisch!F11="NEE",Tactisch!AF11="ja"), AND(Tactisch!F12="NEE",Tactisch!AF12="ja")),Tactisch!D10&amp;", ","")
&amp;IF(AND(Tactisch!F13="NEE",Tactisch!AF13="ja"),Tactisch!$D$13&amp;", ",)
&amp;IF(AND(Tactisch!F14="NEE",Tactisch!AF14="ja"),Tactisch!$D$14&amp;", ",)
&amp;IF(AND(Tactisch!F17="NEE",Tactisch!AF17="ja"),Tactisch!$D$17&amp;", ",)
&amp;IF(AND(Tactisch!F18="NEE",Tactisch!AF18="ja"),Tactisch!$D$18&amp;", ",)
&amp;IF(AND(Tactisch!F19="NEE",Tactisch!AF19="ja"),Tactisch!$D$19&amp;", ",)
&amp;IF(AND(Tactisch!F20="NEE",Tactisch!AF20="ja"),Tactisch!$D$20&amp;", ",)
&amp;IF(AND(Tactisch!F21="NEE",Tactisch!AF21="ja"),Tactisch!$D$21&amp;", ",)
&amp;IF(OR(AND(Tactisch!F22="NEE",Tactisch!AF22="ja"),AND(Tactisch!F23="NEE",Tactisch!AF23="ja"), AND(Tactisch!F24="NEE",Tactisch!AF24="ja")),Tactisch!D22&amp;", ","")
&amp;IF(AND(Tactisch!F25="NEE",Tactisch!AF25="ja"),Tactisch!$D$25&amp;", ",)
&amp;IF(AND(Tactisch!F26="NEE",Tactisch!AF26="ja"),Tactisch!$D$26&amp;", ",)
&amp;IF(AND(Tactisch!F27="NEE",Tactisch!AF27="ja"),Tactisch!$D$27&amp;", ",)
&amp;IF(AND(Tactisch!F28="NEE",Tactisch!AF28="ja"),Tactisch!$D$28&amp;", ",)
&amp;IF(OR(AND(Tactisch!F29="NEE",Tactisch!AF29="ja"),AND(Tactisch!F30="NEE",Tactisch!AF30="ja")),Tactisch!D29&amp;", ","")
&amp;IF(AND(Tactisch!F31="NEE",Tactisch!AF31="ja"),Tactisch!$D$31&amp;", ",)
&amp;IF(AND(Tactisch!F32="NEE",Tactisch!AF32="ja"),Tactisch!$D$32&amp;", ",)
&amp;IF(AND(Tactisch!F33="NEE",Tactisch!AF33="ja"),Tactisch!$D$33&amp;", ",)
&amp;IF(AND(Tactisch!F34="NEE",Tactisch!AF34="ja"),Tactisch!$D$34&amp;", ",)
&amp;IF(OR(AND(Tactisch!F35="NEE",Tactisch!AF35="ja"),AND(Tactisch!F36="NEE",Tactisch!AF36="ja")),Tactisch!D35&amp;", ","")
&amp;IF(OR(AND(Tactisch!F37="NEE",Tactisch!AF37="ja"),AND(Tactisch!F38="NEE",Tactisch!AF38="ja"), AND(Tactisch!F39="NEE",Tactisch!AF39="ja"),AND(Tactisch!F40="NEE",Tactisch!AF40="ja")),Tactisch!D37&amp;", ","")
&amp;IF(OR(AND(Tactisch!F41="NEE",Tactisch!AF41="ja"),AND(Tactisch!F42="NEE",Tactisch!AF42="ja")),Tactisch!D41&amp;", ","")
&amp;IF(OR(AND(Tactisch!F43="NEE",Tactisch!AF43="ja"),AND(Tactisch!F44="NEE",Tactisch!AF44="ja")),Tactisch!D43&amp;", ","")
&amp;IF(AND(Tactisch!F46="NEE",Tactisch!AF46="ja"),Tactisch!$D$46&amp;", ",)
&amp;IF(AND(Tactisch!F50="NEE",Tactisch!AF50="ja"),Tactisch!$D$50&amp;", ",)
&amp;IF(AND(Tactisch!F51="NEE",Tactisch!AF51="ja"),Tactisch!$D$51&amp;", ",)
&amp;IF(AND(Tactisch!F52="NEE",Tactisch!AF52="ja"),Tactisch!$D$52&amp;", ",)
&amp;IF(AND(Tactisch!F53="NEE",Tactisch!AF53="ja"),Tactisch!$D$53&amp;", ",)
&amp;IF(AND(Tactisch!F54="NEE",Tactisch!AF54="ja"),Tactisch!$D$54&amp;", ",)
&amp;IF(AND(Tactisch!F55="NEE",Tactisch!AF55="ja"),Tactisch!$D$55&amp;", ",)
&amp;IF(AND(Tactisch!F56="NEE",Tactisch!AF56="ja"),Tactisch!$D$56&amp;", ",)
&amp;IF(AND(Tactisch!F57="NEE",Tactisch!AF57="ja"),Tactisch!$D$57&amp;", ",)
&amp;IF(AND(Tactisch!F58="NEE",Tactisch!AF58="ja"),Tactisch!$D$58&amp;", ",)
&amp;IF(AND(Tactisch!F59="NEE",Tactisch!AF59="ja"),Tactisch!$D$59&amp;", ",)
&amp;IF(AND(Tactisch!F60="NEE",Tactisch!AF60="ja"),Tactisch!$D$60&amp;", ",)</f>
        <v/>
      </c>
      <c r="N35" s="33"/>
      <c r="O35" s="74" t="s">
        <v>1</v>
      </c>
      <c r="Q35" s="166" t="str">
        <f t="shared" si="13"/>
        <v>Let op: Er zijn meer handvatten beschikbaar dan weergegeven. Advies is om eerste invulling te geven aan de nu weergegeven onderwerpen.</v>
      </c>
      <c r="R35" s="28"/>
      <c r="S35" s="74"/>
    </row>
    <row r="36" spans="2:19" ht="71.25" x14ac:dyDescent="0.45">
      <c r="B36" s="156">
        <f t="shared" si="1"/>
        <v>0</v>
      </c>
      <c r="C36" s="156" t="str">
        <f>IF(B36=1,SUM($B$4:B36),"Nvt")</f>
        <v>Nvt</v>
      </c>
      <c r="D36" s="79"/>
      <c r="E36" s="33" t="s">
        <v>347</v>
      </c>
      <c r="F36" s="33"/>
      <c r="G36" s="33"/>
      <c r="H36" s="33"/>
      <c r="I36" s="110" t="str">
        <f t="shared" si="12"/>
        <v>Reserve (Bron: )</v>
      </c>
      <c r="J36" s="33" t="str">
        <f t="shared" si="17"/>
        <v/>
      </c>
      <c r="L36" s="133" t="str">
        <f t="shared" si="3"/>
        <v>NEE</v>
      </c>
      <c r="M36" s="154" t="str">
        <f>IF(OR(AND(Tactisch!F10="NEE",Tactisch!AG10="ja"),AND(Tactisch!F11="NEE",Tactisch!AG11="ja"), AND(Tactisch!F12="NEE",Tactisch!AG12="ja")),Tactisch!D10&amp;", ","")
&amp;IF(AND(Tactisch!F13="NEE",Tactisch!AG13="ja"),Tactisch!$D$13&amp;", ",)
&amp;IF(AND(Tactisch!F14="NEE",Tactisch!AG14="ja"),Tactisch!$D$14&amp;", ",)
&amp;IF(AND(Tactisch!F17="NEE",Tactisch!AG17="ja"),Tactisch!$D$17&amp;", ",)
&amp;IF(AND(Tactisch!F18="NEE",Tactisch!AG18="ja"),Tactisch!$D$18&amp;", ",)
&amp;IF(AND(Tactisch!F19="NEE",Tactisch!AG19="ja"),Tactisch!$D$19&amp;", ",)
&amp;IF(AND(Tactisch!F20="NEE",Tactisch!AG20="ja"),Tactisch!$D$20&amp;", ",)
&amp;IF(AND(Tactisch!F21="NEE",Tactisch!AG21="ja"),Tactisch!$D$21&amp;", ",)
&amp;IF(OR(AND(Tactisch!F22="NEE",Tactisch!AG22="ja"),AND(Tactisch!F23="NEE",Tactisch!AG23="ja"), AND(Tactisch!F24="NEE",Tactisch!AG24="ja")),Tactisch!D22&amp;", ","")
&amp;IF(AND(Tactisch!F25="NEE",Tactisch!AG25="ja"),Tactisch!$D$25&amp;", ",)
&amp;IF(AND(Tactisch!F26="NEE",Tactisch!AG26="ja"),Tactisch!$D$26&amp;", ",)
&amp;IF(AND(Tactisch!F27="NEE",Tactisch!AG27="ja"),Tactisch!$D$27&amp;", ",)
&amp;IF(AND(Tactisch!F28="NEE",Tactisch!AG28="ja"),Tactisch!$D$28&amp;", ",)
&amp;IF(OR(AND(Tactisch!F29="NEE",Tactisch!AG29="ja"),AND(Tactisch!F30="NEE",Tactisch!AG30="ja")),Tactisch!D29&amp;", ","")
&amp;IF(AND(Tactisch!F31="NEE",Tactisch!AG31="ja"),Tactisch!$D$31&amp;", ",)
&amp;IF(AND(Tactisch!F32="NEE",Tactisch!AG32="ja"),Tactisch!$D$32&amp;", ",)
&amp;IF(AND(Tactisch!F33="NEE",Tactisch!AG33="ja"),Tactisch!$D$33&amp;", ",)
&amp;IF(AND(Tactisch!F34="NEE",Tactisch!AG34="ja"),Tactisch!$D$34&amp;", ",)
&amp;IF(OR(AND(Tactisch!F35="NEE",Tactisch!AG35="ja"),AND(Tactisch!F36="NEE",Tactisch!AG36="ja")),Tactisch!D35&amp;", ","")
&amp;IF(OR(AND(Tactisch!F37="NEE",Tactisch!AG37="ja"),AND(Tactisch!F38="NEE",Tactisch!AG38="ja"), AND(Tactisch!F39="NEE",Tactisch!AG39="ja"),AND(Tactisch!F40="NEE",Tactisch!AG40="ja")),Tactisch!D37&amp;", ","")
&amp;IF(OR(AND(Tactisch!F41="NEE",Tactisch!AG41="ja"),AND(Tactisch!F42="NEE",Tactisch!AG42="ja")),Tactisch!D41&amp;", ","")
&amp;IF(OR(AND(Tactisch!F43="NEE",Tactisch!AG43="ja"),AND(Tactisch!F44="NEE",Tactisch!AG44="ja")),Tactisch!D43&amp;", ","")
&amp;IF(AND(Tactisch!F46="NEE",Tactisch!AG46="ja"),Tactisch!$D$46&amp;", ",)
&amp;IF(AND(Tactisch!F50="NEE",Tactisch!AG50="ja"),Tactisch!$D$50&amp;", ",)
&amp;IF(AND(Tactisch!F51="NEE",Tactisch!AG51="ja"),Tactisch!$D$51&amp;", ",)
&amp;IF(AND(Tactisch!F52="NEE",Tactisch!AG52="ja"),Tactisch!$D$52&amp;", ",)
&amp;IF(AND(Tactisch!F53="NEE",Tactisch!AG53="ja"),Tactisch!$D$53&amp;", ",)
&amp;IF(AND(Tactisch!F54="NEE",Tactisch!AG54="ja"),Tactisch!$D$54&amp;", ",)
&amp;IF(AND(Tactisch!F55="NEE",Tactisch!AG55="ja"),Tactisch!$D$55&amp;", ",)
&amp;IF(AND(Tactisch!F56="NEE",Tactisch!AG56="ja"),Tactisch!$D$56&amp;", ",)
&amp;IF(AND(Tactisch!F57="NEE",Tactisch!AG57="ja"),Tactisch!$D$57&amp;", ",)
&amp;IF(AND(Tactisch!F58="NEE",Tactisch!AG58="ja"),Tactisch!$D$58&amp;", ",)
&amp;IF(AND(Tactisch!F59="NEE",Tactisch!AG59="ja"),Tactisch!$D$59&amp;", ",)
&amp;IF(AND(Tactisch!F60="NEE",Tactisch!AG60="ja"),Tactisch!$D$60&amp;", ",)</f>
        <v/>
      </c>
      <c r="N36" s="33"/>
      <c r="O36" s="74" t="s">
        <v>1</v>
      </c>
      <c r="Q36" s="166" t="str">
        <f t="shared" si="13"/>
        <v>Let op: Er zijn meer handvatten beschikbaar dan weergegeven. Advies is om eerste invulling te geven aan de nu weergegeven onderwerpen.</v>
      </c>
      <c r="R36" s="28"/>
      <c r="S36" s="74"/>
    </row>
    <row r="37" spans="2:19" ht="71.25" x14ac:dyDescent="0.45">
      <c r="B37" s="156">
        <f t="shared" si="1"/>
        <v>0</v>
      </c>
      <c r="C37" s="156" t="str">
        <f>IF(B37=1,SUM($B$4:B37),"Nvt")</f>
        <v>Nvt</v>
      </c>
      <c r="D37" s="79"/>
      <c r="E37" s="33" t="s">
        <v>347</v>
      </c>
      <c r="F37" s="33"/>
      <c r="G37" s="33"/>
      <c r="H37" s="33"/>
      <c r="I37" s="110" t="str">
        <f t="shared" si="12"/>
        <v>Reserve (Bron: )</v>
      </c>
      <c r="J37" s="33" t="str">
        <f t="shared" si="17"/>
        <v/>
      </c>
      <c r="L37" s="133" t="str">
        <f t="shared" si="3"/>
        <v>NEE</v>
      </c>
      <c r="M37" s="154" t="str">
        <f>IF(OR(AND(Tactisch!F10="NEE",Tactisch!AH10="ja"),AND(Tactisch!F11="NEE",Tactisch!AH11="ja"), AND(Tactisch!F12="NEE",Tactisch!AH12="ja")),Tactisch!D10&amp;", ","")
&amp;IF(AND(Tactisch!F13="NEE",Tactisch!AH13="ja"),Tactisch!$D$13&amp;", ",)
&amp;IF(AND(Tactisch!F14="NEE",Tactisch!AH14="ja"),Tactisch!$D$14&amp;", ",)
&amp;IF(AND(Tactisch!F17="NEE",Tactisch!AH17="ja"),Tactisch!$D$17&amp;", ",)
&amp;IF(AND(Tactisch!F18="NEE",Tactisch!AH18="ja"),Tactisch!$D$18&amp;", ",)
&amp;IF(AND(Tactisch!F19="NEE",Tactisch!AH19="ja"),Tactisch!$D$19&amp;", ",)
&amp;IF(AND(Tactisch!F20="NEE",Tactisch!AH20="ja"),Tactisch!$D$20&amp;", ",)
&amp;IF(AND(Tactisch!F21="NEE",Tactisch!AH21="ja"),Tactisch!$D$21&amp;", ",)
&amp;IF(OR(AND(Tactisch!F22="NEE",Tactisch!AH22="ja"),AND(Tactisch!F23="NEE",Tactisch!AH23="ja"), AND(Tactisch!F24="NEE",Tactisch!AH24="ja")),Tactisch!D22&amp;", ","")
&amp;IF(AND(Tactisch!F25="NEE",Tactisch!AH25="ja"),Tactisch!$D$25&amp;", ",)
&amp;IF(AND(Tactisch!F26="NEE",Tactisch!AH26="ja"),Tactisch!$D$26&amp;", ",)
&amp;IF(AND(Tactisch!F27="NEE",Tactisch!AH27="ja"),Tactisch!$D$27&amp;", ",)
&amp;IF(AND(Tactisch!F28="NEE",Tactisch!AH28="ja"),Tactisch!$D$28&amp;", ",)
&amp;IF(OR(AND(Tactisch!F29="NEE",Tactisch!AH29="ja"),AND(Tactisch!F30="NEE",Tactisch!AH30="ja")),Tactisch!D29&amp;", ","")
&amp;IF(AND(Tactisch!F31="NEE",Tactisch!AH31="ja"),Tactisch!$D$31&amp;", ",)
&amp;IF(AND(Tactisch!F32="NEE",Tactisch!AH32="ja"),Tactisch!$D$32&amp;", ",)
&amp;IF(AND(Tactisch!F33="NEE",Tactisch!AH33="ja"),Tactisch!$D$33&amp;", ",)
&amp;IF(AND(Tactisch!F34="NEE",Tactisch!AH34="ja"),Tactisch!$D$34&amp;", ",)
&amp;IF(OR(AND(Tactisch!F35="NEE",Tactisch!AH35="ja"),AND(Tactisch!F36="NEE",Tactisch!AH36="ja")),Tactisch!D35&amp;", ","")
&amp;IF(OR(AND(Tactisch!F37="NEE",Tactisch!AH37="ja"),AND(Tactisch!F38="NEE",Tactisch!AH38="ja"), AND(Tactisch!F39="NEE",Tactisch!AH39="ja"),AND(Tactisch!F40="NEE",Tactisch!AH40="ja")),Tactisch!D37&amp;", ","")
&amp;IF(OR(AND(Tactisch!F41="NEE",Tactisch!AH41="ja"),AND(Tactisch!F42="NEE",Tactisch!AH42="ja")),Tactisch!D41&amp;", ","")
&amp;IF(OR(AND(Tactisch!F43="NEE",Tactisch!AH43="ja"),AND(Tactisch!F44="NEE",Tactisch!AH44="ja")),Tactisch!D43&amp;", ","")
&amp;IF(AND(Tactisch!F46="NEE",Tactisch!AH46="ja"),Tactisch!$D$46&amp;", ",)
&amp;IF(AND(Tactisch!F50="NEE",Tactisch!AH50="ja"),Tactisch!$D$50&amp;", ",)
&amp;IF(AND(Tactisch!F51="NEE",Tactisch!AH51="ja"),Tactisch!$D$51&amp;", ",)
&amp;IF(AND(Tactisch!F52="NEE",Tactisch!AH52="ja"),Tactisch!$D$52&amp;", ",)
&amp;IF(AND(Tactisch!F53="NEE",Tactisch!AH53="ja"),Tactisch!$D$53&amp;", ",)
&amp;IF(AND(Tactisch!F54="NEE",Tactisch!AH54="ja"),Tactisch!$D$54&amp;", ",)
&amp;IF(AND(Tactisch!F55="NEE",Tactisch!AH55="ja"),Tactisch!$D$55&amp;", ",)
&amp;IF(AND(Tactisch!F56="NEE",Tactisch!AH56="ja"),Tactisch!$D$56&amp;", ",)
&amp;IF(AND(Tactisch!F57="NEE",Tactisch!AH57="ja"),Tactisch!$D$57&amp;", ",)
&amp;IF(AND(Tactisch!F58="NEE",Tactisch!AH58="ja"),Tactisch!$D$58&amp;", ",)
&amp;IF(AND(Tactisch!F59="NEE",Tactisch!AH59="ja"),Tactisch!$D$59&amp;", ",)
&amp;IF(AND(Tactisch!F60="NEE",Tactisch!AH60="ja"),Tactisch!$D$60&amp;", ",)</f>
        <v/>
      </c>
      <c r="N37" s="33"/>
      <c r="O37" s="74" t="s">
        <v>1</v>
      </c>
      <c r="Q37" s="166" t="str">
        <f t="shared" si="13"/>
        <v>Let op: Er zijn meer handvatten beschikbaar dan weergegeven. Advies is om eerste invulling te geven aan de nu weergegeven onderwerpen.</v>
      </c>
      <c r="R37" s="28"/>
      <c r="S37" s="74"/>
    </row>
    <row r="38" spans="2:19" ht="71.25" x14ac:dyDescent="0.45">
      <c r="B38" s="156">
        <f t="shared" si="1"/>
        <v>0</v>
      </c>
      <c r="C38" s="156" t="str">
        <f>IF(B38=1,SUM($B$4:B38),"Nvt")</f>
        <v>Nvt</v>
      </c>
      <c r="D38" s="79"/>
      <c r="E38" s="33" t="s">
        <v>347</v>
      </c>
      <c r="F38" s="33"/>
      <c r="G38" s="33"/>
      <c r="H38" s="33"/>
      <c r="I38" s="110" t="str">
        <f t="shared" si="12"/>
        <v>Reserve (Bron: )</v>
      </c>
      <c r="J38" s="33" t="str">
        <f t="shared" si="17"/>
        <v/>
      </c>
      <c r="L38" s="133" t="str">
        <f t="shared" si="3"/>
        <v>NEE</v>
      </c>
      <c r="M38" s="154" t="str">
        <f>IF(OR(AND(Tactisch!F10="NEE",Tactisch!AI10="ja"),AND(Tactisch!F11="NEE",Tactisch!AI11="ja"), AND(Tactisch!F12="NEE",Tactisch!AI12="ja")),Tactisch!D10&amp;", ","")
&amp;IF(AND(Tactisch!F13="NEE",Tactisch!AI13="ja"),Tactisch!$D$13&amp;", ",)
&amp;IF(AND(Tactisch!F14="NEE",Tactisch!AI14="ja"),Tactisch!$D$14&amp;", ",)
&amp;IF(AND(Tactisch!F17="NEE",Tactisch!AI17="ja"),Tactisch!$D$17&amp;", ",)
&amp;IF(AND(Tactisch!F18="NEE",Tactisch!AI18="ja"),Tactisch!$D$18&amp;", ",)
&amp;IF(AND(Tactisch!F19="NEE",Tactisch!AI19="ja"),Tactisch!$D$19&amp;", ",)
&amp;IF(AND(Tactisch!F20="NEE",Tactisch!AI20="ja"),Tactisch!$D$20&amp;", ",)
&amp;IF(AND(Tactisch!F21="NEE",Tactisch!AI21="ja"),Tactisch!$D$21&amp;", ",)
&amp;IF(OR(AND(Tactisch!F22="NEE",Tactisch!AI22="ja"),AND(Tactisch!F23="NEE",Tactisch!AI23="ja"), AND(Tactisch!F24="NEE",Tactisch!AI24="ja")),Tactisch!D22&amp;", ","")
&amp;IF(AND(Tactisch!F25="NEE",Tactisch!AI25="ja"),Tactisch!$D$25&amp;", ",)
&amp;IF(AND(Tactisch!F26="NEE",Tactisch!AI26="ja"),Tactisch!$D$26&amp;", ",)
&amp;IF(AND(Tactisch!F27="NEE",Tactisch!AI27="ja"),Tactisch!$D$27&amp;", ",)
&amp;IF(AND(Tactisch!F28="NEE",Tactisch!AI28="ja"),Tactisch!$D$28&amp;", ",)
&amp;IF(OR(AND(Tactisch!F29="NEE",Tactisch!AI29="ja"),AND(Tactisch!F30="NEE",Tactisch!AI30="ja")),Tactisch!D29&amp;", ","")
&amp;IF(AND(Tactisch!F31="NEE",Tactisch!AI31="ja"),Tactisch!$D$31&amp;", ",)
&amp;IF(AND(Tactisch!F32="NEE",Tactisch!AI32="ja"),Tactisch!$D$32&amp;", ",)
&amp;IF(AND(Tactisch!F33="NEE",Tactisch!AI33="ja"),Tactisch!$D$33&amp;", ",)
&amp;IF(AND(Tactisch!F34="NEE",Tactisch!AI34="ja"),Tactisch!$D$34&amp;", ",)
&amp;IF(OR(AND(Tactisch!F35="NEE",Tactisch!AI35="ja"),AND(Tactisch!F36="NEE",Tactisch!AI36="ja")),Tactisch!D35&amp;", ","")
&amp;IF(OR(AND(Tactisch!F37="NEE",Tactisch!AI37="ja"),AND(Tactisch!F38="NEE",Tactisch!AI38="ja"), AND(Tactisch!F39="NEE",Tactisch!AI39="ja"),AND(Tactisch!F40="NEE",Tactisch!AI40="ja")),Tactisch!D37&amp;", ","")
&amp;IF(OR(AND(Tactisch!F41="NEE",Tactisch!AI41="ja"),AND(Tactisch!F42="NEE",Tactisch!AI42="ja")),Tactisch!D41&amp;", ","")
&amp;IF(OR(AND(Tactisch!F43="NEE",Tactisch!AI43="ja"),AND(Tactisch!F44="NEE",Tactisch!AI44="ja")),Tactisch!D43&amp;", ","")
&amp;IF(AND(Tactisch!F46="NEE",Tactisch!AI46="ja"),Tactisch!$D$46&amp;", ",)
&amp;IF(AND(Tactisch!F50="NEE",Tactisch!AI50="ja"),Tactisch!$D$50&amp;", ",)
&amp;IF(AND(Tactisch!F51="NEE",Tactisch!AI51="ja"),Tactisch!$D$51&amp;", ",)
&amp;IF(AND(Tactisch!F52="NEE",Tactisch!AI52="ja"),Tactisch!$D$52&amp;", ",)
&amp;IF(AND(Tactisch!F53="NEE",Tactisch!AI53="ja"),Tactisch!$D$53&amp;", ",)
&amp;IF(AND(Tactisch!F54="NEE",Tactisch!AI54="ja"),Tactisch!$D$54&amp;", ",)
&amp;IF(AND(Tactisch!F55="NEE",Tactisch!AI55="ja"),Tactisch!$D$55&amp;", ",)
&amp;IF(AND(Tactisch!F56="NEE",Tactisch!AI56="ja"),Tactisch!$D$56&amp;", ",)
&amp;IF(AND(Tactisch!F57="NEE",Tactisch!AI57="ja"),Tactisch!$D$57&amp;", ",)
&amp;IF(AND(Tactisch!F58="NEE",Tactisch!AI58="ja"),Tactisch!$D$58&amp;", ",)
&amp;IF(AND(Tactisch!F59="NEE",Tactisch!AI59="ja"),Tactisch!$D$59&amp;", ",)
&amp;IF(AND(Tactisch!F60="NEE",Tactisch!AI60="ja"),Tactisch!$D$60&amp;", ",)</f>
        <v/>
      </c>
      <c r="N38" s="33"/>
      <c r="O38" s="74" t="s">
        <v>1</v>
      </c>
      <c r="Q38" s="166" t="str">
        <f t="shared" si="13"/>
        <v>Let op: Er zijn meer handvatten beschikbaar dan weergegeven. Advies is om eerste invulling te geven aan de nu weergegeven onderwerpen.</v>
      </c>
      <c r="R38" s="28"/>
      <c r="S38" s="74"/>
    </row>
    <row r="39" spans="2:19" ht="71.25" x14ac:dyDescent="0.45">
      <c r="B39" s="156">
        <f t="shared" si="1"/>
        <v>0</v>
      </c>
      <c r="C39" s="156" t="str">
        <f>IF(B39=1,SUM($B$4:B39),"Nvt")</f>
        <v>Nvt</v>
      </c>
      <c r="D39" s="79"/>
      <c r="E39" s="33" t="s">
        <v>347</v>
      </c>
      <c r="F39" s="33"/>
      <c r="G39" s="33"/>
      <c r="H39" s="33"/>
      <c r="I39" s="110" t="str">
        <f t="shared" si="12"/>
        <v>Reserve (Bron: )</v>
      </c>
      <c r="J39" s="33" t="str">
        <f t="shared" si="17"/>
        <v/>
      </c>
      <c r="L39" s="133" t="str">
        <f t="shared" si="3"/>
        <v>NEE</v>
      </c>
      <c r="M39" s="154" t="str">
        <f>IF(OR(AND(Tactisch!F10="NEE",Tactisch!AJ10="ja"),AND(Tactisch!F11="NEE",Tactisch!AJ11="ja"), AND(Tactisch!F12="NEE",Tactisch!AJ12="ja")),Tactisch!D10&amp;", ","")
&amp;IF(AND(Tactisch!F13="NEE",Tactisch!AJ13="ja"),Tactisch!$D$13&amp;", ",)
&amp;IF(AND(Tactisch!F14="NEE",Tactisch!AJ14="ja"),Tactisch!$D$14&amp;", ",)
&amp;IF(AND(Tactisch!F17="NEE",Tactisch!AJ17="ja"),Tactisch!$D$17&amp;", ",)
&amp;IF(AND(Tactisch!F18="NEE",Tactisch!AJ18="ja"),Tactisch!$D$18&amp;", ",)
&amp;IF(AND(Tactisch!F19="NEE",Tactisch!AJ19="ja"),Tactisch!$D$19&amp;", ",)
&amp;IF(AND(Tactisch!F20="NEE",Tactisch!AJ20="ja"),Tactisch!$D$20&amp;", ",)
&amp;IF(AND(Tactisch!F21="NEE",Tactisch!AJ21="ja"),Tactisch!$D$21&amp;", ",)
&amp;IF(OR(AND(Tactisch!F22="NEE",Tactisch!AJ22="ja"),AND(Tactisch!F23="NEE",Tactisch!AJ23="ja"), AND(Tactisch!F24="NEE",Tactisch!AJ24="ja")),Tactisch!D22&amp;", ","")
&amp;IF(AND(Tactisch!F25="NEE",Tactisch!AJ25="ja"),Tactisch!$D$25&amp;", ",)
&amp;IF(AND(Tactisch!F26="NEE",Tactisch!AJ26="ja"),Tactisch!$D$26&amp;", ",)
&amp;IF(AND(Tactisch!F27="NEE",Tactisch!AJ27="ja"),Tactisch!$D$27&amp;", ",)
&amp;IF(AND(Tactisch!F28="NEE",Tactisch!AJ28="ja"),Tactisch!$D$28&amp;", ",)
&amp;IF(OR(AND(Tactisch!F29="NEE",Tactisch!AJ29="ja"),AND(Tactisch!F30="NEE",Tactisch!AJ30="ja")),Tactisch!D29&amp;", ","")
&amp;IF(AND(Tactisch!F31="NEE",Tactisch!AJ31="ja"),Tactisch!$D$31&amp;", ",)
&amp;IF(AND(Tactisch!F32="NEE",Tactisch!AJ32="ja"),Tactisch!$D$32&amp;", ",)
&amp;IF(AND(Tactisch!F33="NEE",Tactisch!AJ33="ja"),Tactisch!$D$33&amp;", ",)
&amp;IF(AND(Tactisch!F34="NEE",Tactisch!AJ34="ja"),Tactisch!$D$34&amp;", ",)
&amp;IF(OR(AND(Tactisch!F35="NEE",Tactisch!AJ35="ja"),AND(Tactisch!F36="NEE",Tactisch!AJ36="ja")),Tactisch!D35&amp;", ","")
&amp;IF(OR(AND(Tactisch!F37="NEE",Tactisch!AJ37="ja"),AND(Tactisch!F38="NEE",Tactisch!AJ38="ja"), AND(Tactisch!F39="NEE",Tactisch!AJ39="ja"),AND(Tactisch!F40="NEE",Tactisch!AJ40="ja")),Tactisch!D37&amp;", ","")
&amp;IF(OR(AND(Tactisch!F41="NEE",Tactisch!AJ41="ja"),AND(Tactisch!F42="NEE",Tactisch!AJ42="ja")),Tactisch!D41&amp;", ","")
&amp;IF(OR(AND(Tactisch!F43="NEE",Tactisch!AJ43="ja"),AND(Tactisch!F44="NEE",Tactisch!AJ44="ja")),Tactisch!D43&amp;", ","")
&amp;IF(AND(Tactisch!F46="NEE",Tactisch!AJ46="ja"),Tactisch!$D$46&amp;", ",)
&amp;IF(AND(Tactisch!F50="NEE",Tactisch!AJ50="ja"),Tactisch!$D$50&amp;", ",)
&amp;IF(AND(Tactisch!F51="NEE",Tactisch!AJ51="ja"),Tactisch!$D$51&amp;", ",)
&amp;IF(AND(Tactisch!F52="NEE",Tactisch!AJ52="ja"),Tactisch!$D$52&amp;", ",)
&amp;IF(AND(Tactisch!F53="NEE",Tactisch!AJ53="ja"),Tactisch!$D$53&amp;", ",)
&amp;IF(AND(Tactisch!F54="NEE",Tactisch!AJ54="ja"),Tactisch!$D$54&amp;", ",)
&amp;IF(AND(Tactisch!F55="NEE",Tactisch!AJ55="ja"),Tactisch!$D$55&amp;", ",)
&amp;IF(AND(Tactisch!F56="NEE",Tactisch!AJ56="ja"),Tactisch!$D$56&amp;", ",)
&amp;IF(AND(Tactisch!F57="NEE",Tactisch!AJ57="ja"),Tactisch!$D$57&amp;", ",)
&amp;IF(AND(Tactisch!F58="NEE",Tactisch!AJ58="ja"),Tactisch!$D$58&amp;", ",)
&amp;IF(AND(Tactisch!F59="NEE",Tactisch!AJ59="ja"),Tactisch!$D$59&amp;", ",)
&amp;IF(AND(Tactisch!F60="NEE",Tactisch!AJ60="ja"),Tactisch!$D$60&amp;", ",)</f>
        <v/>
      </c>
      <c r="N39" s="33"/>
      <c r="O39" s="74" t="s">
        <v>1</v>
      </c>
      <c r="Q39" s="166" t="str">
        <f t="shared" si="13"/>
        <v>Let op: Er zijn meer handvatten beschikbaar dan weergegeven. Advies is om eerste invulling te geven aan de nu weergegeven onderwerpen.</v>
      </c>
      <c r="R39" s="28"/>
      <c r="S39" s="74"/>
    </row>
    <row r="40" spans="2:19" ht="71.25" x14ac:dyDescent="0.45">
      <c r="B40" s="156">
        <f t="shared" si="1"/>
        <v>0</v>
      </c>
      <c r="C40" s="156" t="str">
        <f>IF(B40=1,SUM($B$4:B40),"Nvt")</f>
        <v>Nvt</v>
      </c>
      <c r="D40" s="79"/>
      <c r="E40" s="33" t="s">
        <v>347</v>
      </c>
      <c r="F40" s="33"/>
      <c r="G40" s="33"/>
      <c r="H40" s="33"/>
      <c r="I40" s="110" t="str">
        <f t="shared" si="12"/>
        <v>Reserve (Bron: )</v>
      </c>
      <c r="J40" s="33" t="str">
        <f t="shared" si="17"/>
        <v/>
      </c>
      <c r="L40" s="133" t="str">
        <f t="shared" si="3"/>
        <v>NEE</v>
      </c>
      <c r="M40" s="154" t="str">
        <f>IF(OR(AND(Tactisch!F10="NEE",Tactisch!AK10="ja"),AND(Tactisch!F11="NEE",Tactisch!AK11="ja"), AND(Tactisch!F12="NEE",Tactisch!AK12="ja")),Tactisch!D10&amp;", ","")
&amp;IF(AND(Tactisch!F13="NEE",Tactisch!AK13="ja"),Tactisch!$D$13&amp;", ",)
&amp;IF(AND(Tactisch!F14="NEE",Tactisch!AK14="ja"),Tactisch!$D$14&amp;", ",)
&amp;IF(AND(Tactisch!F17="NEE",Tactisch!AK17="ja"),Tactisch!$D$17&amp;", ",)
&amp;IF(AND(Tactisch!F18="NEE",Tactisch!AK18="ja"),Tactisch!$D$18&amp;", ",)
&amp;IF(AND(Tactisch!F19="NEE",Tactisch!AK19="ja"),Tactisch!$D$19&amp;", ",)
&amp;IF(AND(Tactisch!F20="NEE",Tactisch!AK20="ja"),Tactisch!$D$20&amp;", ",)
&amp;IF(AND(Tactisch!F21="NEE",Tactisch!AK21="ja"),Tactisch!$D$21&amp;", ",)
&amp;IF(OR(AND(Tactisch!F22="NEE",Tactisch!AK22="ja"),AND(Tactisch!F23="NEE",Tactisch!AK23="ja"), AND(Tactisch!F24="NEE",Tactisch!AK24="ja")),Tactisch!D22&amp;", ","")
&amp;IF(AND(Tactisch!F25="NEE",Tactisch!AK25="ja"),Tactisch!$D$25&amp;", ",)
&amp;IF(AND(Tactisch!F26="NEE",Tactisch!AK26="ja"),Tactisch!$D$26&amp;", ",)
&amp;IF(AND(Tactisch!F27="NEE",Tactisch!AK27="ja"),Tactisch!$D$27&amp;", ",)
&amp;IF(AND(Tactisch!F28="NEE",Tactisch!AK28="ja"),Tactisch!$D$28&amp;", ",)
&amp;IF(OR(AND(Tactisch!F29="NEE",Tactisch!AK29="ja"),AND(Tactisch!F30="NEE",Tactisch!AK30="ja")),Tactisch!D29&amp;", ","")
&amp;IF(AND(Tactisch!F31="NEE",Tactisch!AK31="ja"),Tactisch!$D$31&amp;", ",)
&amp;IF(AND(Tactisch!F32="NEE",Tactisch!AK32="ja"),Tactisch!$D$32&amp;", ",)
&amp;IF(AND(Tactisch!F33="NEE",Tactisch!AK33="ja"),Tactisch!$D$33&amp;", ",)
&amp;IF(AND(Tactisch!F34="NEE",Tactisch!AK34="ja"),Tactisch!$D$34&amp;", ",)
&amp;IF(OR(AND(Tactisch!F35="NEE",Tactisch!AK35="ja"),AND(Tactisch!F36="NEE",Tactisch!AK36="ja")),Tactisch!D35&amp;", ","")
&amp;IF(OR(AND(Tactisch!F37="NEE",Tactisch!AK37="ja"),AND(Tactisch!F38="NEE",Tactisch!AK38="ja"), AND(Tactisch!F39="NEE",Tactisch!AK39="ja"),AND(Tactisch!F40="NEE",Tactisch!AK40="ja")),Tactisch!D37&amp;", ","")
&amp;IF(OR(AND(Tactisch!F41="NEE",Tactisch!AK41="ja"),AND(Tactisch!F42="NEE",Tactisch!AK42="ja")),Tactisch!D41&amp;", ","")
&amp;IF(OR(AND(Tactisch!F43="NEE",Tactisch!AK43="ja"),AND(Tactisch!F44="NEE",Tactisch!AK44="ja")),Tactisch!D43&amp;", ","")
&amp;IF(AND(Tactisch!F46="NEE",Tactisch!AK46="ja"),Tactisch!$D$46&amp;", ",)
&amp;IF(AND(Tactisch!F50="NEE",Tactisch!AK50="ja"),Tactisch!$D$50&amp;", ",)
&amp;IF(AND(Tactisch!F51="NEE",Tactisch!AK51="ja"),Tactisch!$D$51&amp;", ",)
&amp;IF(AND(Tactisch!F52="NEE",Tactisch!AK52="ja"),Tactisch!$D$52&amp;", ",)
&amp;IF(AND(Tactisch!F53="NEE",Tactisch!AK53="ja"),Tactisch!$D$53&amp;", ",)
&amp;IF(AND(Tactisch!F54="NEE",Tactisch!AK54="ja"),Tactisch!$D$54&amp;", ",)
&amp;IF(AND(Tactisch!F55="NEE",Tactisch!AK55="ja"),Tactisch!$D$55&amp;", ",)
&amp;IF(AND(Tactisch!F56="NEE",Tactisch!AK56="ja"),Tactisch!$D$56&amp;", ",)
&amp;IF(AND(Tactisch!F57="NEE",Tactisch!AK57="ja"),Tactisch!$D$57&amp;", ",)
&amp;IF(AND(Tactisch!F58="NEE",Tactisch!AK58="ja"),Tactisch!$D$58&amp;", ",)
&amp;IF(AND(Tactisch!F59="NEE",Tactisch!AK59="ja"),Tactisch!$D$59&amp;", ",)
&amp;IF(AND(Tactisch!F60="NEE",Tactisch!AK60="ja"),Tactisch!$D$60&amp;", ",)</f>
        <v/>
      </c>
      <c r="N40" s="33"/>
      <c r="O40" s="74" t="s">
        <v>1</v>
      </c>
      <c r="Q40" s="166" t="str">
        <f t="shared" si="13"/>
        <v>Let op: Er zijn meer handvatten beschikbaar dan weergegeven. Advies is om eerste invulling te geven aan de nu weergegeven onderwerpen.</v>
      </c>
      <c r="R40" s="28"/>
      <c r="S40" s="74"/>
    </row>
    <row r="41" spans="2:19" ht="71.25" x14ac:dyDescent="0.45">
      <c r="B41" s="156">
        <f t="shared" si="1"/>
        <v>0</v>
      </c>
      <c r="C41" s="156" t="str">
        <f>IF(B41=1,SUM($B$4:B41),"Nvt")</f>
        <v>Nvt</v>
      </c>
      <c r="D41" s="79"/>
      <c r="E41" s="33" t="s">
        <v>347</v>
      </c>
      <c r="F41" s="33"/>
      <c r="G41" s="33"/>
      <c r="H41" s="33"/>
      <c r="I41" s="110" t="str">
        <f t="shared" si="12"/>
        <v>Reserve (Bron: )</v>
      </c>
      <c r="J41" s="33" t="str">
        <f t="shared" si="17"/>
        <v/>
      </c>
      <c r="L41" s="133" t="str">
        <f t="shared" si="3"/>
        <v>NEE</v>
      </c>
      <c r="M41" s="154" t="str">
        <f>IF(OR(AND(Tactisch!F10="NEE",Tactisch!AL10="ja"),AND(Tactisch!F11="NEE",Tactisch!AL11="ja"), AND(Tactisch!F12="NEE",Tactisch!AL12="ja")),Tactisch!D10&amp;", ","")
&amp;IF(AND(Tactisch!F13="NEE",Tactisch!AL13="ja"),Tactisch!$D$13&amp;", ",)
&amp;IF(AND(Tactisch!F14="NEE",Tactisch!AL14="ja"),Tactisch!$D$14&amp;", ",)
&amp;IF(AND(Tactisch!F17="NEE",Tactisch!AL17="ja"),Tactisch!$D$17&amp;", ",)
&amp;IF(AND(Tactisch!F18="NEE",Tactisch!AL18="ja"),Tactisch!$D$18&amp;", ",)
&amp;IF(AND(Tactisch!F19="NEE",Tactisch!AL19="ja"),Tactisch!$D$19&amp;", ",)
&amp;IF(AND(Tactisch!F20="NEE",Tactisch!AL20="ja"),Tactisch!$D$20&amp;", ",)
&amp;IF(AND(Tactisch!F21="NEE",Tactisch!AL21="ja"),Tactisch!$D$21&amp;", ",)
&amp;IF(OR(AND(Tactisch!F22="NEE",Tactisch!AL22="ja"),AND(Tactisch!F23="NEE",Tactisch!AL23="ja"), AND(Tactisch!F24="NEE",Tactisch!AL24="ja")),Tactisch!D22&amp;", ","")
&amp;IF(AND(Tactisch!F25="NEE",Tactisch!AL25="ja"),Tactisch!$D$25&amp;", ",)
&amp;IF(AND(Tactisch!F26="NEE",Tactisch!AL26="ja"),Tactisch!$D$26&amp;", ",)
&amp;IF(AND(Tactisch!F27="NEE",Tactisch!AL27="ja"),Tactisch!$D$27&amp;", ",)
&amp;IF(AND(Tactisch!F28="NEE",Tactisch!AL28="ja"),Tactisch!$D$28&amp;", ",)
&amp;IF(OR(AND(Tactisch!F29="NEE",Tactisch!AL29="ja"),AND(Tactisch!F30="NEE",Tactisch!AL30="ja")),Tactisch!D29&amp;", ","")
&amp;IF(AND(Tactisch!F31="NEE",Tactisch!AL31="ja"),Tactisch!$D$31&amp;", ",)
&amp;IF(AND(Tactisch!F32="NEE",Tactisch!AL32="ja"),Tactisch!$D$32&amp;", ",)
&amp;IF(AND(Tactisch!F33="NEE",Tactisch!AL33="ja"),Tactisch!$D$33&amp;", ",)
&amp;IF(AND(Tactisch!F34="NEE",Tactisch!AL34="ja"),Tactisch!$D$34&amp;", ",)
&amp;IF(OR(AND(Tactisch!F35="NEE",Tactisch!AL35="ja"),AND(Tactisch!F36="NEE",Tactisch!AL36="ja")),Tactisch!D35&amp;", ","")
&amp;IF(OR(AND(Tactisch!F37="NEE",Tactisch!AL37="ja"),AND(Tactisch!F38="NEE",Tactisch!AL38="ja"), AND(Tactisch!F39="NEE",Tactisch!AL39="ja"),AND(Tactisch!F40="NEE",Tactisch!AL40="ja")),Tactisch!D37&amp;", ","")
&amp;IF(OR(AND(Tactisch!F41="NEE",Tactisch!AL41="ja"),AND(Tactisch!F42="NEE",Tactisch!AL42="ja")),Tactisch!D41&amp;", ","")
&amp;IF(OR(AND(Tactisch!F43="NEE",Tactisch!AL43="ja"),AND(Tactisch!F44="NEE",Tactisch!AL44="ja")),Tactisch!D43&amp;", ","")
&amp;IF(AND(Tactisch!F46="NEE",Tactisch!AL46="ja"),Tactisch!$D$46&amp;", ",)
&amp;IF(AND(Tactisch!F50="NEE",Tactisch!AL50="ja"),Tactisch!$D$50&amp;", ",)
&amp;IF(AND(Tactisch!F51="NEE",Tactisch!AL51="ja"),Tactisch!$D$51&amp;", ",)
&amp;IF(AND(Tactisch!F52="NEE",Tactisch!AL52="ja"),Tactisch!$D$52&amp;", ",)
&amp;IF(AND(Tactisch!F53="NEE",Tactisch!AL53="ja"),Tactisch!$D$53&amp;", ",)
&amp;IF(AND(Tactisch!F54="NEE",Tactisch!AL54="ja"),Tactisch!$D$54&amp;", ",)
&amp;IF(AND(Tactisch!F55="NEE",Tactisch!AL55="ja"),Tactisch!$D$55&amp;", ",)
&amp;IF(AND(Tactisch!F56="NEE",Tactisch!AL56="ja"),Tactisch!$D$56&amp;", ",)
&amp;IF(AND(Tactisch!F57="NEE",Tactisch!AL57="ja"),Tactisch!$D$57&amp;", ",)
&amp;IF(AND(Tactisch!F58="NEE",Tactisch!AL58="ja"),Tactisch!$D$58&amp;", ",)
&amp;IF(AND(Tactisch!F59="NEE",Tactisch!AL59="ja"),Tactisch!$D$59&amp;", ",)
&amp;IF(AND(Tactisch!F60="NEE",Tactisch!AL60="ja"),Tactisch!$D$60&amp;", ",)</f>
        <v/>
      </c>
      <c r="N41" s="33"/>
      <c r="O41" s="74" t="s">
        <v>1</v>
      </c>
      <c r="Q41" s="166" t="str">
        <f t="shared" si="13"/>
        <v>Let op: Er zijn meer handvatten beschikbaar dan weergegeven. Advies is om eerste invulling te geven aan de nu weergegeven onderwerpen.</v>
      </c>
      <c r="R41" s="28"/>
      <c r="S41" s="74"/>
    </row>
    <row r="42" spans="2:19" ht="71.25" x14ac:dyDescent="0.45">
      <c r="B42" s="156">
        <f t="shared" si="1"/>
        <v>0</v>
      </c>
      <c r="C42" s="156" t="str">
        <f>IF(B42=1,SUM($B$4:B42),"Nvt")</f>
        <v>Nvt</v>
      </c>
      <c r="D42" s="79"/>
      <c r="E42" s="33" t="s">
        <v>347</v>
      </c>
      <c r="F42" s="33"/>
      <c r="G42" s="33"/>
      <c r="H42" s="33"/>
      <c r="I42" s="110" t="str">
        <f t="shared" si="12"/>
        <v>Reserve (Bron: )</v>
      </c>
      <c r="J42" s="33" t="str">
        <f t="shared" si="17"/>
        <v/>
      </c>
      <c r="L42" s="133" t="str">
        <f t="shared" si="3"/>
        <v>NEE</v>
      </c>
      <c r="M42" s="154" t="str">
        <f>IF(OR(AND(Tactisch!F10="NEE",Tactisch!AM10="ja"),AND(Tactisch!F11="NEE",Tactisch!AM11="ja"), AND(Tactisch!F12="NEE",Tactisch!AM12="ja")),Tactisch!D10&amp;", ","")
&amp;IF(AND(Tactisch!F13="NEE",Tactisch!AM13="ja"),Tactisch!$D$13&amp;", ",)
&amp;IF(AND(Tactisch!F14="NEE",Tactisch!AM14="ja"),Tactisch!$D$14&amp;", ",)
&amp;IF(AND(Tactisch!F17="NEE",Tactisch!AM17="ja"),Tactisch!$D$17&amp;", ",)
&amp;IF(AND(Tactisch!F18="NEE",Tactisch!AM18="ja"),Tactisch!$D$18&amp;", ",)
&amp;IF(AND(Tactisch!F19="NEE",Tactisch!AM19="ja"),Tactisch!$D$19&amp;", ",)
&amp;IF(AND(Tactisch!F20="NEE",Tactisch!AM20="ja"),Tactisch!$D$20&amp;", ",)
&amp;IF(AND(Tactisch!F21="NEE",Tactisch!AM21="ja"),Tactisch!$D$21&amp;", ",)
&amp;IF(OR(AND(Tactisch!F22="NEE",Tactisch!AM22="ja"),AND(Tactisch!F23="NEE",Tactisch!AM23="ja"), AND(Tactisch!F24="NEE",Tactisch!AM24="ja")),Tactisch!D22&amp;", ","")
&amp;IF(AND(Tactisch!F25="NEE",Tactisch!AM25="ja"),Tactisch!$D$25&amp;", ",)
&amp;IF(AND(Tactisch!F26="NEE",Tactisch!AM26="ja"),Tactisch!$D$26&amp;", ",)
&amp;IF(AND(Tactisch!F27="NEE",Tactisch!AM27="ja"),Tactisch!$D$27&amp;", ",)
&amp;IF(AND(Tactisch!F28="NEE",Tactisch!AM28="ja"),Tactisch!$D$28&amp;", ",)
&amp;IF(OR(AND(Tactisch!F29="NEE",Tactisch!AM29="ja"),AND(Tactisch!F30="NEE",Tactisch!AM30="ja")),Tactisch!D29&amp;", ","")
&amp;IF(AND(Tactisch!F31="NEE",Tactisch!AM31="ja"),Tactisch!$D$31&amp;", ",)
&amp;IF(AND(Tactisch!F32="NEE",Tactisch!AM32="ja"),Tactisch!$D$32&amp;", ",)
&amp;IF(AND(Tactisch!F33="NEE",Tactisch!AM33="ja"),Tactisch!$D$33&amp;", ",)
&amp;IF(AND(Tactisch!F34="NEE",Tactisch!AM34="ja"),Tactisch!$D$34&amp;", ",)
&amp;IF(OR(AND(Tactisch!F35="NEE",Tactisch!AM35="ja"),AND(Tactisch!F36="NEE",Tactisch!AM36="ja")),Tactisch!D35&amp;", ","")
&amp;IF(OR(AND(Tactisch!F37="NEE",Tactisch!AM37="ja"),AND(Tactisch!F38="NEE",Tactisch!AM38="ja"), AND(Tactisch!F39="NEE",Tactisch!AM39="ja"),AND(Tactisch!F40="NEE",Tactisch!AM40="ja")),Tactisch!D37&amp;", ","")
&amp;IF(OR(AND(Tactisch!F41="NEE",Tactisch!AM41="ja"),AND(Tactisch!F42="NEE",Tactisch!AM42="ja")),Tactisch!D41&amp;", ","")
&amp;IF(OR(AND(Tactisch!F43="NEE",Tactisch!AM43="ja"),AND(Tactisch!F44="NEE",Tactisch!AM44="ja")),Tactisch!D43&amp;", ","")
&amp;IF(AND(Tactisch!F46="NEE",Tactisch!AM46="ja"),Tactisch!$D$46&amp;", ",)
&amp;IF(AND(Tactisch!F50="NEE",Tactisch!AM50="ja"),Tactisch!$D$50&amp;", ",)
&amp;IF(AND(Tactisch!F51="NEE",Tactisch!AM51="ja"),Tactisch!$D$51&amp;", ",)
&amp;IF(AND(Tactisch!F52="NEE",Tactisch!AM52="ja"),Tactisch!$D$52&amp;", ",)
&amp;IF(AND(Tactisch!F53="NEE",Tactisch!AM53="ja"),Tactisch!$D$53&amp;", ",)
&amp;IF(AND(Tactisch!F54="NEE",Tactisch!AM54="ja"),Tactisch!$D$54&amp;", ",)
&amp;IF(AND(Tactisch!F55="NEE",Tactisch!AM55="ja"),Tactisch!$D$55&amp;", ",)
&amp;IF(AND(Tactisch!F56="NEE",Tactisch!AM56="ja"),Tactisch!$D$56&amp;", ",)
&amp;IF(AND(Tactisch!F57="NEE",Tactisch!AM57="ja"),Tactisch!$D$57&amp;", ",)
&amp;IF(AND(Tactisch!F58="NEE",Tactisch!AM58="ja"),Tactisch!$D$58&amp;", ",)
&amp;IF(AND(Tactisch!F59="NEE",Tactisch!AM59="ja"),Tactisch!$D$59&amp;", ",)
&amp;IF(AND(Tactisch!F60="NEE",Tactisch!AM60="ja"),Tactisch!$D$60&amp;", ",)</f>
        <v/>
      </c>
      <c r="N42" s="33"/>
      <c r="O42" s="74" t="s">
        <v>1</v>
      </c>
      <c r="Q42" s="166" t="str">
        <f t="shared" si="13"/>
        <v>Let op: Er zijn meer handvatten beschikbaar dan weergegeven. Advies is om eerste invulling te geven aan de nu weergegeven onderwerpen.</v>
      </c>
      <c r="R42" s="28"/>
      <c r="S42" s="74"/>
    </row>
    <row r="43" spans="2:19" ht="71.25" x14ac:dyDescent="0.45">
      <c r="B43" s="156">
        <f t="shared" si="1"/>
        <v>0</v>
      </c>
      <c r="C43" s="156" t="str">
        <f>IF(B43=1,SUM($B$4:B43),"Nvt")</f>
        <v>Nvt</v>
      </c>
      <c r="D43" s="79"/>
      <c r="E43" s="33" t="s">
        <v>347</v>
      </c>
      <c r="F43" s="33"/>
      <c r="G43" s="33"/>
      <c r="H43" s="33"/>
      <c r="I43" s="110" t="str">
        <f t="shared" si="12"/>
        <v>Reserve (Bron: )</v>
      </c>
      <c r="J43" s="33" t="str">
        <f t="shared" si="17"/>
        <v/>
      </c>
      <c r="L43" s="133" t="str">
        <f t="shared" si="3"/>
        <v>NEE</v>
      </c>
      <c r="M43" s="154" t="str">
        <f>IF(OR(AND(Tactisch!F10="NEE",Tactisch!AN10="ja"),AND(Tactisch!F11="NEE",Tactisch!AN11="ja"), AND(Tactisch!F12="NEE",Tactisch!AN12="ja")),Tactisch!D10&amp;", ","")
&amp;IF(AND(Tactisch!F13="NEE",Tactisch!AN13="ja"),Tactisch!$D$13&amp;", ",)
&amp;IF(AND(Tactisch!F14="NEE",Tactisch!AN14="ja"),Tactisch!$D$14&amp;", ",)
&amp;IF(AND(Tactisch!F17="NEE",Tactisch!AN17="ja"),Tactisch!$D$17&amp;", ",)
&amp;IF(AND(Tactisch!F18="NEE",Tactisch!AN18="ja"),Tactisch!$D$18&amp;", ",)
&amp;IF(AND(Tactisch!F19="NEE",Tactisch!AN19="ja"),Tactisch!$D$19&amp;", ",)
&amp;IF(AND(Tactisch!F20="NEE",Tactisch!AN20="ja"),Tactisch!$D$20&amp;", ",)
&amp;IF(AND(Tactisch!F21="NEE",Tactisch!AN21="ja"),Tactisch!$D$21&amp;", ",)
&amp;IF(OR(AND(Tactisch!F22="NEE",Tactisch!AN22="ja"),AND(Tactisch!F23="NEE",Tactisch!AN23="ja"), AND(Tactisch!F24="NEE",Tactisch!AN24="ja")),Tactisch!D22&amp;", ","")
&amp;IF(AND(Tactisch!F25="NEE",Tactisch!AN25="ja"),Tactisch!$D$25&amp;", ",)
&amp;IF(AND(Tactisch!F26="NEE",Tactisch!AN26="ja"),Tactisch!$D$26&amp;", ",)
&amp;IF(AND(Tactisch!F27="NEE",Tactisch!AN27="ja"),Tactisch!$D$27&amp;", ",)
&amp;IF(AND(Tactisch!F28="NEE",Tactisch!AN28="ja"),Tactisch!$D$28&amp;", ",)
&amp;IF(OR(AND(Tactisch!F29="NEE",Tactisch!AN29="ja"),AND(Tactisch!F30="NEE",Tactisch!AN30="ja")),Tactisch!D29&amp;", ","")
&amp;IF(AND(Tactisch!F31="NEE",Tactisch!AN31="ja"),Tactisch!$D$31&amp;", ",)
&amp;IF(AND(Tactisch!F32="NEE",Tactisch!AN32="ja"),Tactisch!$D$32&amp;", ",)
&amp;IF(AND(Tactisch!F33="NEE",Tactisch!AN33="ja"),Tactisch!$D$33&amp;", ",)
&amp;IF(AND(Tactisch!F34="NEE",Tactisch!AN34="ja"),Tactisch!$D$34&amp;", ",)
&amp;IF(OR(AND(Tactisch!F35="NEE",Tactisch!AN35="ja"),AND(Tactisch!F36="NEE",Tactisch!AN36="ja")),Tactisch!D35&amp;", ","")
&amp;IF(OR(AND(Tactisch!F37="NEE",Tactisch!AN37="ja"),AND(Tactisch!F38="NEE",Tactisch!AN38="ja"), AND(Tactisch!F39="NEE",Tactisch!AN39="ja"),AND(Tactisch!F40="NEE",Tactisch!AN40="ja")),Tactisch!D37&amp;", ","")
&amp;IF(OR(AND(Tactisch!F41="NEE",Tactisch!AN41="ja"),AND(Tactisch!F42="NEE",Tactisch!AN42="ja")),Tactisch!D41&amp;", ","")
&amp;IF(OR(AND(Tactisch!F43="NEE",Tactisch!AN43="ja"),AND(Tactisch!F44="NEE",Tactisch!AN44="ja")),Tactisch!D43&amp;", ","")
&amp;IF(AND(Tactisch!F46="NEE",Tactisch!AN46="ja"),Tactisch!$D$46&amp;", ",)
&amp;IF(AND(Tactisch!F50="NEE",Tactisch!AN50="ja"),Tactisch!$D$50&amp;", ",)
&amp;IF(AND(Tactisch!F51="NEE",Tactisch!AN51="ja"),Tactisch!$D$51&amp;", ",)
&amp;IF(AND(Tactisch!F52="NEE",Tactisch!AN52="ja"),Tactisch!$D$52&amp;", ",)
&amp;IF(AND(Tactisch!F53="NEE",Tactisch!AN53="ja"),Tactisch!$D$53&amp;", ",)
&amp;IF(AND(Tactisch!F54="NEE",Tactisch!AN54="ja"),Tactisch!$D$54&amp;", ",)
&amp;IF(AND(Tactisch!F55="NEE",Tactisch!AN55="ja"),Tactisch!$D$55&amp;", ",)
&amp;IF(AND(Tactisch!F56="NEE",Tactisch!AN56="ja"),Tactisch!$D$56&amp;", ",)
&amp;IF(AND(Tactisch!F57="NEE",Tactisch!AN57="ja"),Tactisch!$D$57&amp;", ",)
&amp;IF(AND(Tactisch!F58="NEE",Tactisch!AN58="ja"),Tactisch!$D$58&amp;", ",)
&amp;IF(AND(Tactisch!F59="NEE",Tactisch!AN59="ja"),Tactisch!$D$59&amp;", ",)
&amp;IF(AND(Tactisch!F60="NEE",Tactisch!AN60="ja"),Tactisch!$D$60&amp;", ",)</f>
        <v/>
      </c>
      <c r="N43" s="33"/>
      <c r="O43" s="74" t="s">
        <v>1</v>
      </c>
      <c r="Q43" s="166" t="str">
        <f t="shared" si="13"/>
        <v>Let op: Er zijn meer handvatten beschikbaar dan weergegeven. Advies is om eerste invulling te geven aan de nu weergegeven onderwerpen.</v>
      </c>
      <c r="R43" s="28"/>
      <c r="S43" s="74"/>
    </row>
    <row r="44" spans="2:19" s="105" customFormat="1" x14ac:dyDescent="0.45">
      <c r="B44" s="156"/>
      <c r="C44" s="156"/>
      <c r="E44" s="106" t="s">
        <v>289</v>
      </c>
      <c r="F44" s="107"/>
      <c r="G44" s="108"/>
      <c r="H44" s="109"/>
      <c r="I44" s="109"/>
      <c r="J44" s="109"/>
      <c r="M44" s="110"/>
      <c r="N44" s="110"/>
      <c r="O44" s="111"/>
    </row>
    <row r="45" spans="2:19" s="120" customFormat="1" ht="14.65" thickBot="1" x14ac:dyDescent="0.5">
      <c r="B45" s="159"/>
      <c r="C45" s="159"/>
      <c r="D45" s="118"/>
      <c r="E45" s="119" t="s">
        <v>290</v>
      </c>
      <c r="F45" s="119" t="s">
        <v>26</v>
      </c>
      <c r="G45" s="119" t="s">
        <v>255</v>
      </c>
      <c r="H45" s="119" t="s">
        <v>226</v>
      </c>
      <c r="I45" s="119" t="s">
        <v>238</v>
      </c>
      <c r="J45" s="119" t="s">
        <v>227</v>
      </c>
      <c r="L45" s="121" t="s">
        <v>262</v>
      </c>
      <c r="M45" s="122"/>
      <c r="N45" s="122"/>
      <c r="O45" s="123" t="s">
        <v>263</v>
      </c>
      <c r="R45" s="120" t="s">
        <v>226</v>
      </c>
      <c r="S45" s="120" t="s">
        <v>361</v>
      </c>
    </row>
    <row r="46" spans="2:19" ht="14.65" thickTop="1" x14ac:dyDescent="0.45">
      <c r="B46" s="156">
        <f t="shared" si="1"/>
        <v>0</v>
      </c>
      <c r="C46" s="156" t="str">
        <f>IF(B46=1,101,"Nvt")</f>
        <v>Nvt</v>
      </c>
      <c r="D46" s="79"/>
      <c r="E46" s="1" t="s">
        <v>266</v>
      </c>
      <c r="F46" s="1" t="s">
        <v>266</v>
      </c>
      <c r="G46" s="1" t="s">
        <v>267</v>
      </c>
      <c r="H46" s="1" t="s">
        <v>230</v>
      </c>
      <c r="I46" s="108" t="str">
        <f>IF(E46="","",E46&amp;" (Bron: "&amp;H46&amp;")")</f>
        <v>Basisscan Cyberweerbaarheid (Bron: NCSC)</v>
      </c>
      <c r="J46" s="1" t="str">
        <f t="shared" ref="J46:J52" si="18">R46&amp;S46</f>
        <v>https://www.ncsc.nl/tools/basisscan-cyberweerbaarheid</v>
      </c>
      <c r="L46" s="112" t="str">
        <f>IF(AND('Samenvatting-Data'!E4&gt;150%,OR('Samenvatting-Data'!L12&lt;40%,'Samenvatting-Data'!L21&lt;40%)),"JA","NEE")</f>
        <v>NEE</v>
      </c>
      <c r="M46" s="33"/>
      <c r="N46" s="33"/>
      <c r="O46" s="33" t="s">
        <v>0</v>
      </c>
      <c r="R46" s="1" t="s">
        <v>365</v>
      </c>
      <c r="S46" s="74"/>
    </row>
    <row r="47" spans="2:19" x14ac:dyDescent="0.45">
      <c r="B47" s="156">
        <f t="shared" si="1"/>
        <v>0</v>
      </c>
      <c r="C47" s="156" t="str">
        <f>IF(B47=1,101+SUM($B$46:B47),"Nvt")</f>
        <v>Nvt</v>
      </c>
      <c r="D47" s="79"/>
      <c r="E47" s="1" t="s">
        <v>236</v>
      </c>
      <c r="F47" s="1" t="s">
        <v>261</v>
      </c>
      <c r="G47" s="1" t="s">
        <v>264</v>
      </c>
      <c r="H47" s="1" t="s">
        <v>194</v>
      </c>
      <c r="I47" s="105" t="str">
        <f t="shared" ref="I47:I52" si="19">IF(E47="","",E47&amp;" (Bron: "&amp;H47&amp;")")</f>
        <v>Risicogestruurde SOC-Planning (Bron: VSSR)</v>
      </c>
      <c r="J47" s="1" t="str">
        <f t="shared" si="18"/>
        <v>https://www.ncsc.nl/soc/het-vertrekpunt-voor-een-soc#:~:text=</v>
      </c>
      <c r="L47" s="112" t="str">
        <f>IF('Samenvatting-Data'!L13&gt;75%,"JA","NEE")</f>
        <v>NEE</v>
      </c>
      <c r="M47" s="33"/>
      <c r="N47" s="33"/>
      <c r="O47" s="33" t="s">
        <v>0</v>
      </c>
      <c r="R47" t="str">
        <f>$R$4</f>
        <v>https://www.ncsc.nl/soc/het-vertrekpunt-voor-een-soc#:~:text=</v>
      </c>
      <c r="S47" s="74"/>
    </row>
    <row r="48" spans="2:19" ht="28.5" x14ac:dyDescent="0.45">
      <c r="B48" s="156">
        <f t="shared" si="1"/>
        <v>0</v>
      </c>
      <c r="C48" s="156" t="str">
        <f>IF(B48=1,101+SUM($B$46:B48),"Nvt")</f>
        <v>Nvt</v>
      </c>
      <c r="D48" s="79"/>
      <c r="E48" s="28" t="s">
        <v>319</v>
      </c>
      <c r="F48" s="23" t="s">
        <v>321</v>
      </c>
      <c r="G48" s="28" t="s">
        <v>320</v>
      </c>
      <c r="H48" s="23" t="s">
        <v>194</v>
      </c>
      <c r="I48" s="109" t="str">
        <f t="shared" si="19"/>
        <v>Detectietechnieken en Use Case Kennisbank (DUCK) (Bron: VSSR)</v>
      </c>
      <c r="J48" s="1" t="str">
        <f t="shared" si="18"/>
        <v>https://www.ncsc.nl/soc/het-vertrekpunt-voor-een-soc#:~:text=</v>
      </c>
      <c r="L48" s="112" t="str">
        <f>IF('Samenvatting-Data'!L13&gt;75%,"JA","NEE")</f>
        <v>NEE</v>
      </c>
      <c r="O48" s="74" t="s">
        <v>322</v>
      </c>
      <c r="R48" t="str">
        <f>$R$4</f>
        <v>https://www.ncsc.nl/soc/het-vertrekpunt-voor-een-soc#:~:text=</v>
      </c>
      <c r="S48" s="74"/>
    </row>
    <row r="49" spans="2:19" ht="99.75" x14ac:dyDescent="0.45">
      <c r="B49" s="156">
        <f t="shared" si="1"/>
        <v>0</v>
      </c>
      <c r="C49" s="156" t="str">
        <f>IF(B49=1,101+SUM($B$46:B49),"Nvt")</f>
        <v>Nvt</v>
      </c>
      <c r="D49" s="79"/>
      <c r="E49" s="33" t="s">
        <v>304</v>
      </c>
      <c r="F49" s="1" t="s">
        <v>305</v>
      </c>
      <c r="G49" s="1" t="s">
        <v>306</v>
      </c>
      <c r="H49" s="74" t="s">
        <v>307</v>
      </c>
      <c r="I49" s="108" t="str">
        <f t="shared" si="19"/>
        <v>Krijg inzicht in de digitale veiligheid van de organisatie (Bron: CIO Rijk)</v>
      </c>
      <c r="J49" s="1" t="str">
        <f t="shared" si="18"/>
        <v>https://rijksportaal.overheid-i.nl/organisaties/rijksbreed/nieuws/2024/03/test-je-organisatie-op-kwetsbaarheid-cyberaanvallen.html</v>
      </c>
      <c r="L49" s="112" t="str">
        <f>IF('Samenvatting-Data'!L13&gt;75%,"JA","NEE")</f>
        <v>NEE</v>
      </c>
      <c r="R49" s="1" t="s">
        <v>308</v>
      </c>
      <c r="S49" s="74"/>
    </row>
    <row r="50" spans="2:19" x14ac:dyDescent="0.45">
      <c r="B50" s="156">
        <f t="shared" si="1"/>
        <v>0</v>
      </c>
      <c r="C50" s="156" t="str">
        <f>IF(B50=1,101+SUM($B$46:B50),"Nvt")</f>
        <v>Nvt</v>
      </c>
      <c r="D50" s="79"/>
      <c r="E50" s="33" t="s">
        <v>231</v>
      </c>
      <c r="H50" t="s">
        <v>230</v>
      </c>
      <c r="I50" s="105" t="str">
        <f t="shared" si="19"/>
        <v>Uitwijk en herstelplan (Bron: NCSC)</v>
      </c>
      <c r="J50" s="33" t="str">
        <f t="shared" si="18"/>
        <v>https://www.ncsc.nl/incidenten-en-herstellen/uitwijk-en-herstelplan</v>
      </c>
      <c r="L50" s="112" t="s">
        <v>282</v>
      </c>
      <c r="R50" s="33" t="s">
        <v>366</v>
      </c>
      <c r="S50" s="74"/>
    </row>
    <row r="51" spans="2:19" x14ac:dyDescent="0.45">
      <c r="B51" s="156">
        <f t="shared" si="1"/>
        <v>0</v>
      </c>
      <c r="C51" s="156" t="str">
        <f>IF(B51=1,101+SUM($B$46:B51),"Nvt")</f>
        <v>Nvt</v>
      </c>
      <c r="D51" s="79"/>
      <c r="E51" s="33" t="s">
        <v>232</v>
      </c>
      <c r="H51" t="s">
        <v>230</v>
      </c>
      <c r="I51" s="105" t="str">
        <f t="shared" si="19"/>
        <v>Cyberbewustwording (Bron: NCSC)</v>
      </c>
      <c r="J51" s="33" t="str">
        <f t="shared" si="18"/>
        <v>https://www.ncsc.nl/security-awareness/cyberbewustwording</v>
      </c>
      <c r="L51" s="112" t="s">
        <v>282</v>
      </c>
      <c r="R51" s="33" t="s">
        <v>367</v>
      </c>
      <c r="S51" s="74"/>
    </row>
    <row r="52" spans="2:19" s="78" customFormat="1" x14ac:dyDescent="0.45">
      <c r="B52" s="158">
        <f t="shared" si="1"/>
        <v>0</v>
      </c>
      <c r="C52" s="158" t="str">
        <f>IF(B52=1,101+SUM($B$46:B52),"Nvt")</f>
        <v>Nvt</v>
      </c>
      <c r="D52" s="100"/>
      <c r="I52" s="104" t="str">
        <f t="shared" si="19"/>
        <v/>
      </c>
      <c r="J52" s="167" t="str">
        <f t="shared" si="18"/>
        <v/>
      </c>
      <c r="L52" s="113"/>
      <c r="M52" s="77"/>
      <c r="N52" s="77"/>
      <c r="O52" s="77"/>
      <c r="S52" s="77"/>
    </row>
    <row r="53" spans="2:19" x14ac:dyDescent="0.45">
      <c r="B53" s="79">
        <f>SUM(B46:B52)</f>
        <v>0</v>
      </c>
    </row>
  </sheetData>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78B195B3-BB77-478B-8155-0CC605F2D126}">
          <x14:formula1>
            <xm:f>Strategisch!$C$8:$C$33</xm:f>
          </x14:formula1>
          <xm:sqref>N4:N12</xm:sqref>
        </x14:dataValidation>
        <x14:dataValidation type="list" allowBlank="1" showInputMessage="1" showErrorMessage="1" xr:uid="{73F9D029-C0BE-47DA-96C8-B66210595121}">
          <x14:formula1>
            <xm:f>Tactisch!$C$9:$C$60</xm:f>
          </x14:formula1>
          <xm:sqref>N15:N17 N20:N43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N19" sqref="N19"/>
    </sheetView>
  </sheetViews>
  <sheetFormatPr defaultRowHeight="14.25" x14ac:dyDescent="0.45"/>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4"/>
  <sheetViews>
    <sheetView topLeftCell="C1" workbookViewId="0">
      <selection activeCell="N19" sqref="N19"/>
    </sheetView>
  </sheetViews>
  <sheetFormatPr defaultRowHeight="14.25" x14ac:dyDescent="0.45"/>
  <cols>
    <col min="1" max="1" width="6.86328125" style="17" customWidth="1"/>
    <col min="2" max="2" width="9" style="17" customWidth="1"/>
    <col min="3" max="3" width="20.59765625" bestFit="1" customWidth="1"/>
    <col min="4" max="4" width="27.3984375" bestFit="1" customWidth="1"/>
    <col min="5" max="5" width="7.1328125" bestFit="1" customWidth="1"/>
    <col min="6" max="6" width="10" bestFit="1" customWidth="1"/>
    <col min="9" max="9" width="13.265625" customWidth="1"/>
    <col min="10" max="10" width="12.265625" customWidth="1"/>
    <col min="11" max="11" width="9.73046875" customWidth="1"/>
    <col min="12" max="13" width="16.73046875" customWidth="1"/>
    <col min="14" max="14" width="20.1328125" customWidth="1"/>
    <col min="15" max="15" width="13.59765625" bestFit="1" customWidth="1"/>
    <col min="16" max="16" width="58.86328125" customWidth="1"/>
    <col min="17" max="17" width="12" customWidth="1"/>
    <col min="18" max="18" width="12.86328125" customWidth="1"/>
    <col min="19" max="33" width="9.1328125" customWidth="1"/>
  </cols>
  <sheetData>
    <row r="1" spans="1:15" s="12" customFormat="1" x14ac:dyDescent="0.45">
      <c r="A1" s="29"/>
      <c r="B1" s="29"/>
      <c r="C1" s="12" t="s">
        <v>52</v>
      </c>
      <c r="E1" s="12" t="s">
        <v>57</v>
      </c>
      <c r="F1" s="12" t="s">
        <v>47</v>
      </c>
    </row>
    <row r="2" spans="1:15" x14ac:dyDescent="0.45">
      <c r="D2" t="s">
        <v>1</v>
      </c>
      <c r="E2" s="7">
        <f>AVERAGE(I16:I20)</f>
        <v>0</v>
      </c>
      <c r="F2" s="7">
        <f>AVERAGE(J16:J20)</f>
        <v>0</v>
      </c>
    </row>
    <row r="3" spans="1:15" x14ac:dyDescent="0.45">
      <c r="D3" t="s">
        <v>0</v>
      </c>
      <c r="E3" s="7">
        <f>AVERAGE(I8:I11)</f>
        <v>0</v>
      </c>
      <c r="F3" s="7">
        <f>AVERAGE(J8:J11)</f>
        <v>0</v>
      </c>
    </row>
    <row r="4" spans="1:15" x14ac:dyDescent="0.45">
      <c r="E4" s="7">
        <f>SUM(E2:E3)</f>
        <v>0</v>
      </c>
    </row>
    <row r="5" spans="1:15" s="8" customFormat="1" x14ac:dyDescent="0.45">
      <c r="A5" s="30" t="s">
        <v>137</v>
      </c>
      <c r="B5" s="30" t="s">
        <v>138</v>
      </c>
      <c r="C5" s="8" t="s">
        <v>55</v>
      </c>
    </row>
    <row r="6" spans="1:15" s="10" customFormat="1" x14ac:dyDescent="0.45">
      <c r="A6" s="31"/>
      <c r="B6" s="31"/>
      <c r="C6" s="10" t="s">
        <v>51</v>
      </c>
      <c r="K6" s="216" t="s">
        <v>249</v>
      </c>
      <c r="L6" s="217"/>
      <c r="M6" s="217"/>
      <c r="N6" s="218"/>
    </row>
    <row r="7" spans="1:15" s="2" customFormat="1" x14ac:dyDescent="0.45">
      <c r="A7" s="32"/>
      <c r="B7" s="32"/>
      <c r="D7" s="11" t="s">
        <v>26</v>
      </c>
      <c r="E7" s="11" t="s">
        <v>44</v>
      </c>
      <c r="F7" s="11" t="s">
        <v>46</v>
      </c>
      <c r="G7" s="11" t="s">
        <v>45</v>
      </c>
      <c r="H7" s="11" t="s">
        <v>134</v>
      </c>
      <c r="I7" s="11" t="s">
        <v>58</v>
      </c>
      <c r="J7" s="11" t="s">
        <v>75</v>
      </c>
      <c r="K7" s="85" t="s">
        <v>240</v>
      </c>
      <c r="L7" s="11" t="s">
        <v>246</v>
      </c>
      <c r="M7" s="11" t="s">
        <v>248</v>
      </c>
      <c r="N7" s="86" t="s">
        <v>250</v>
      </c>
      <c r="O7" s="2" t="s">
        <v>133</v>
      </c>
    </row>
    <row r="8" spans="1:15" x14ac:dyDescent="0.45">
      <c r="A8" s="17">
        <f>IF(O8="JA",1,0)</f>
        <v>0</v>
      </c>
      <c r="B8" s="17" t="str">
        <f>IF(O8="JA",1,"Nvt")</f>
        <v>Nvt</v>
      </c>
      <c r="C8" t="s">
        <v>0</v>
      </c>
      <c r="D8" t="str">
        <f>Strategisch!C9</f>
        <v>SOC-Strategie</v>
      </c>
      <c r="E8">
        <v>10</v>
      </c>
      <c r="F8">
        <f>G8+H8</f>
        <v>0</v>
      </c>
      <c r="G8">
        <f>COUNTIF(Strategisch!F9:F16,"JA")+IF(Strategisch!F18="JA",1,0)+IF(OR(Strategisch!F17="",Strategisch!F17=0),0,1)</f>
        <v>0</v>
      </c>
      <c r="H8">
        <f>COUNTIF(Strategisch!F9:F16,"NEE")+IF(Strategisch!F17=0,1,0)+IF(Strategisch!F18="NEE",1,0)</f>
        <v>0</v>
      </c>
      <c r="I8" s="7">
        <f>F8/E8</f>
        <v>0</v>
      </c>
      <c r="J8" s="7">
        <f>G8/E8</f>
        <v>0</v>
      </c>
      <c r="K8" s="92">
        <f>COUNTIF(Strategisch!I9:I18,"M")/$E$8</f>
        <v>0.7</v>
      </c>
      <c r="L8" s="7">
        <f>COUNTIF(Strategisch!J9:J18,"Voldaan")/$E$8</f>
        <v>0</v>
      </c>
      <c r="M8" s="7">
        <f>K8-L8</f>
        <v>0.7</v>
      </c>
      <c r="N8" s="93">
        <f>J8+M8</f>
        <v>0.7</v>
      </c>
      <c r="O8" t="str">
        <f t="shared" ref="O8" si="0">IF(H8&gt;0,"JA","NEE")</f>
        <v>NEE</v>
      </c>
    </row>
    <row r="9" spans="1:15" x14ac:dyDescent="0.45">
      <c r="A9" s="17">
        <f>IF(O9="JA",1,0)</f>
        <v>0</v>
      </c>
      <c r="B9" s="17" t="str">
        <f>IF(A9=1,SUM($A$8:A9),"Nvt")</f>
        <v>Nvt</v>
      </c>
      <c r="C9" t="s">
        <v>0</v>
      </c>
      <c r="D9" t="str">
        <f>Strategisch!C19</f>
        <v>Sturing</v>
      </c>
      <c r="E9" s="5">
        <v>3</v>
      </c>
      <c r="F9">
        <f>G9+H9</f>
        <v>0</v>
      </c>
      <c r="G9">
        <f>COUNTIF(Strategisch!F19:F21,"JA")</f>
        <v>0</v>
      </c>
      <c r="H9">
        <f>COUNTIF(Strategisch!F19:F21,"NEE")</f>
        <v>0</v>
      </c>
      <c r="I9" s="7">
        <f>F9/E9</f>
        <v>0</v>
      </c>
      <c r="J9" s="7">
        <f>G9/E9</f>
        <v>0</v>
      </c>
      <c r="K9" s="92">
        <f>COUNTIF(Strategisch!I19:I21,"M")/$E$9</f>
        <v>0.33333333333333331</v>
      </c>
      <c r="L9" s="7">
        <f>COUNTIF(Strategisch!J19:J21,"Voldaan")/$E$9</f>
        <v>0</v>
      </c>
      <c r="M9" s="7">
        <f t="shared" ref="M9:M11" si="1">K9-L9</f>
        <v>0.33333333333333331</v>
      </c>
      <c r="N9" s="93">
        <f t="shared" ref="N9:N11" si="2">J9+M9</f>
        <v>0.33333333333333331</v>
      </c>
      <c r="O9" t="str">
        <f>IF(H9&gt;0,"JA","NEE")</f>
        <v>NEE</v>
      </c>
    </row>
    <row r="10" spans="1:15" x14ac:dyDescent="0.45">
      <c r="A10" s="17">
        <f t="shared" ref="A10" si="3">IF(O10="JA",1,0)</f>
        <v>0</v>
      </c>
      <c r="B10" s="17" t="str">
        <f>IF(A10=1,SUM($A$8:A10),"Nvt")</f>
        <v>Nvt</v>
      </c>
      <c r="C10" t="s">
        <v>0</v>
      </c>
      <c r="D10" t="str">
        <f>Strategisch!C28</f>
        <v>Risicobeheersing</v>
      </c>
      <c r="E10">
        <v>6</v>
      </c>
      <c r="F10">
        <f>G10+H10</f>
        <v>0</v>
      </c>
      <c r="G10">
        <f>COUNTIF(Strategisch!F28:F33,"JA")</f>
        <v>0</v>
      </c>
      <c r="H10">
        <f>COUNTIF(Strategisch!F28:F33,"NEE")</f>
        <v>0</v>
      </c>
      <c r="I10" s="7">
        <f>F10/E10</f>
        <v>0</v>
      </c>
      <c r="J10" s="7">
        <f>G10/E10</f>
        <v>0</v>
      </c>
      <c r="K10" s="92">
        <f>COUNTIF(Strategisch!I28:I33,"M")/$E$10</f>
        <v>0.16666666666666666</v>
      </c>
      <c r="L10" s="7">
        <f>COUNTIF(Strategisch!J28:J33,"Voldaan")/$E$10</f>
        <v>0</v>
      </c>
      <c r="M10" s="7">
        <f t="shared" si="1"/>
        <v>0.16666666666666666</v>
      </c>
      <c r="N10" s="93">
        <f t="shared" si="2"/>
        <v>0.16666666666666666</v>
      </c>
      <c r="O10" t="str">
        <f>IF(H10&gt;0,"JA","NEE")</f>
        <v>NEE</v>
      </c>
    </row>
    <row r="11" spans="1:15" x14ac:dyDescent="0.45">
      <c r="A11" s="17">
        <f>IF(O11="JA",1,0)</f>
        <v>0</v>
      </c>
      <c r="B11" s="17" t="str">
        <f>IF(A11=1,SUM($A$8:A11),"Nvt")</f>
        <v>Nvt</v>
      </c>
      <c r="C11" t="s">
        <v>0</v>
      </c>
      <c r="D11" t="str">
        <f>Strategisch!C22</f>
        <v>Informatiebeveiligingsbeleid</v>
      </c>
      <c r="E11">
        <v>6</v>
      </c>
      <c r="F11">
        <f>G11+H11</f>
        <v>0</v>
      </c>
      <c r="G11">
        <f>COUNTIF(Strategisch!F22:F27,"JA")</f>
        <v>0</v>
      </c>
      <c r="H11">
        <f>COUNTIF(Strategisch!F22:F27,"NEE")</f>
        <v>0</v>
      </c>
      <c r="I11" s="7">
        <f>F11/E11</f>
        <v>0</v>
      </c>
      <c r="J11" s="7">
        <f>G11/E11</f>
        <v>0</v>
      </c>
      <c r="K11" s="94">
        <f>COUNTIF(Strategisch!I22:I27,"M")/$E$11</f>
        <v>0.5</v>
      </c>
      <c r="L11" s="95">
        <f>COUNTIF(Strategisch!J22:J27,"Voldaan")/$E$11</f>
        <v>0</v>
      </c>
      <c r="M11" s="95">
        <f t="shared" si="1"/>
        <v>0.5</v>
      </c>
      <c r="N11" s="96">
        <f t="shared" si="2"/>
        <v>0.5</v>
      </c>
      <c r="O11" t="str">
        <f>IF(H11&gt;0,"JA","NEE")</f>
        <v>NEE</v>
      </c>
    </row>
    <row r="12" spans="1:15" x14ac:dyDescent="0.45">
      <c r="I12" s="7"/>
      <c r="J12" s="7"/>
      <c r="K12" s="34"/>
      <c r="L12" s="7">
        <f>SUM(L8:L11)</f>
        <v>0</v>
      </c>
    </row>
    <row r="13" spans="1:15" x14ac:dyDescent="0.45">
      <c r="C13" t="s">
        <v>135</v>
      </c>
      <c r="J13" s="7"/>
      <c r="K13" s="34"/>
      <c r="O13" t="str">
        <f>IF(COUNTIF(O8:O11,"JA")=0,"NEE","JA")</f>
        <v>NEE</v>
      </c>
    </row>
    <row r="14" spans="1:15" s="10" customFormat="1" x14ac:dyDescent="0.45">
      <c r="A14" s="31"/>
      <c r="B14" s="31"/>
      <c r="C14" s="10" t="s">
        <v>50</v>
      </c>
      <c r="K14" s="216" t="s">
        <v>249</v>
      </c>
      <c r="L14" s="217"/>
      <c r="M14" s="217"/>
      <c r="N14" s="218"/>
    </row>
    <row r="15" spans="1:15" s="2" customFormat="1" x14ac:dyDescent="0.45">
      <c r="A15" s="32"/>
      <c r="B15" s="32"/>
      <c r="D15" s="11" t="s">
        <v>26</v>
      </c>
      <c r="E15" s="11" t="s">
        <v>44</v>
      </c>
      <c r="F15" s="11" t="s">
        <v>46</v>
      </c>
      <c r="G15" s="11" t="s">
        <v>45</v>
      </c>
      <c r="H15" s="11" t="s">
        <v>134</v>
      </c>
      <c r="I15" s="11" t="s">
        <v>58</v>
      </c>
      <c r="J15" s="11" t="s">
        <v>47</v>
      </c>
      <c r="K15" s="85" t="s">
        <v>240</v>
      </c>
      <c r="L15" s="11" t="s">
        <v>247</v>
      </c>
      <c r="M15" s="11" t="s">
        <v>248</v>
      </c>
      <c r="N15" s="86" t="s">
        <v>250</v>
      </c>
      <c r="O15" s="2" t="s">
        <v>133</v>
      </c>
    </row>
    <row r="16" spans="1:15" x14ac:dyDescent="0.45">
      <c r="A16" s="17">
        <f t="shared" ref="A16:A20" si="4">IF(O16="JA",1,0)</f>
        <v>0</v>
      </c>
      <c r="B16" s="17" t="str">
        <f>IF(A16=1,SUM($A$8:A16),"Nvt")</f>
        <v>Nvt</v>
      </c>
      <c r="C16" t="s">
        <v>1</v>
      </c>
      <c r="D16" s="9" t="str">
        <f>Tactisch!C9</f>
        <v>Organisatie</v>
      </c>
      <c r="E16" s="9">
        <v>8</v>
      </c>
      <c r="F16" s="9">
        <f>G16+H16+IF(Tactisch!F15="",0,1)+IF(Tactisch!F16="",0,1)+IF(Tactisch!F9&gt;0,1,0)</f>
        <v>0</v>
      </c>
      <c r="G16" s="9">
        <f>COUNTIF(Tactisch!F10:F14,"JA")</f>
        <v>0</v>
      </c>
      <c r="H16" s="9">
        <f>COUNTIF(Tactisch!F10:F14,"NEE")</f>
        <v>0</v>
      </c>
      <c r="I16" s="15">
        <f>F16/E16</f>
        <v>0</v>
      </c>
      <c r="J16" s="15">
        <f>G16/(E16-3)</f>
        <v>0</v>
      </c>
      <c r="K16" s="87">
        <f>COUNTIF(Tactisch!I9:I16,"M")/$E$16</f>
        <v>0.125</v>
      </c>
      <c r="L16" s="15">
        <f>COUNTIF(Tactisch!J9:J16,"Voldaan")/$E$16</f>
        <v>0</v>
      </c>
      <c r="M16" s="15">
        <f>K16-L16</f>
        <v>0.125</v>
      </c>
      <c r="N16" s="88">
        <f>J16+M16</f>
        <v>0.125</v>
      </c>
      <c r="O16" t="str">
        <f>IF(H16&gt;0,"JA","NEE")</f>
        <v>NEE</v>
      </c>
    </row>
    <row r="17" spans="1:15" x14ac:dyDescent="0.45">
      <c r="A17" s="17">
        <f t="shared" si="4"/>
        <v>0</v>
      </c>
      <c r="B17" s="17" t="str">
        <f>IF(A17=1,SUM($A$8:A17),"Nvt")</f>
        <v>Nvt</v>
      </c>
      <c r="C17" t="s">
        <v>1</v>
      </c>
      <c r="D17" s="9" t="str">
        <f>Tactisch!C43</f>
        <v>Mensen</v>
      </c>
      <c r="E17" s="14">
        <v>4</v>
      </c>
      <c r="F17" s="9">
        <f>G17+H17</f>
        <v>0</v>
      </c>
      <c r="G17" s="9">
        <f>COUNTIF(Tactisch!F43:F46,"JA")</f>
        <v>0</v>
      </c>
      <c r="H17" s="9">
        <f>COUNTIF(Tactisch!F43:F46,"NEE")</f>
        <v>0</v>
      </c>
      <c r="I17" s="15">
        <f>F17/E17</f>
        <v>0</v>
      </c>
      <c r="J17" s="15">
        <f>G17/E17</f>
        <v>0</v>
      </c>
      <c r="K17" s="87">
        <f>COUNTIF(Tactisch!I43:I46,"M")/$E$17</f>
        <v>0.25</v>
      </c>
      <c r="L17" s="15">
        <f>COUNTIF(Tactisch!J43:J46,"Voldaan")/$E$17</f>
        <v>0</v>
      </c>
      <c r="M17" s="15">
        <f t="shared" ref="M17:M20" si="5">K17-L17</f>
        <v>0.25</v>
      </c>
      <c r="N17" s="88">
        <f t="shared" ref="N17:N20" si="6">J17+M17</f>
        <v>0.25</v>
      </c>
      <c r="O17" t="str">
        <f t="shared" ref="O17:O20" si="7">IF(H17&gt;0,"JA","NEE")</f>
        <v>NEE</v>
      </c>
    </row>
    <row r="18" spans="1:15" x14ac:dyDescent="0.45">
      <c r="A18" s="17">
        <f t="shared" si="4"/>
        <v>0</v>
      </c>
      <c r="B18" s="17" t="str">
        <f>IF(A18=1,SUM($A$8:A18),"Nvt")</f>
        <v>Nvt</v>
      </c>
      <c r="C18" t="s">
        <v>1</v>
      </c>
      <c r="D18" s="9" t="str">
        <f>Tactisch!C17</f>
        <v>Proces</v>
      </c>
      <c r="E18" s="9">
        <v>26</v>
      </c>
      <c r="F18" s="9">
        <f>G18+H18</f>
        <v>0</v>
      </c>
      <c r="G18" s="9">
        <f>COUNTIF(Tactisch!F17:F42,"JA")</f>
        <v>0</v>
      </c>
      <c r="H18" s="9">
        <f>COUNTIF(Tactisch!F17:F42,"NEE")</f>
        <v>0</v>
      </c>
      <c r="I18" s="15">
        <f>F18/E18</f>
        <v>0</v>
      </c>
      <c r="J18" s="15">
        <f>G18/E18</f>
        <v>0</v>
      </c>
      <c r="K18" s="87">
        <f>COUNTIF(Tactisch!I17:I42,"M")/$E$18</f>
        <v>0.53846153846153844</v>
      </c>
      <c r="L18" s="15">
        <f>COUNTIF(Tactisch!J17:J42,"Voldaan")/$E$18</f>
        <v>0</v>
      </c>
      <c r="M18" s="15">
        <f>K18-L18</f>
        <v>0.53846153846153844</v>
      </c>
      <c r="N18" s="88">
        <f t="shared" si="6"/>
        <v>0.53846153846153844</v>
      </c>
      <c r="O18" t="str">
        <f t="shared" si="7"/>
        <v>NEE</v>
      </c>
    </row>
    <row r="19" spans="1:15" x14ac:dyDescent="0.45">
      <c r="A19" s="17">
        <f t="shared" si="4"/>
        <v>0</v>
      </c>
      <c r="B19" s="17" t="str">
        <f>IF(A19=1,SUM($A$8:A19),"Nvt")</f>
        <v>Nvt</v>
      </c>
      <c r="C19" t="s">
        <v>1</v>
      </c>
      <c r="D19" s="9" t="str">
        <f>Tactisch!C47</f>
        <v>Technology</v>
      </c>
      <c r="E19" s="9">
        <v>10</v>
      </c>
      <c r="F19" s="9">
        <f>G19+H19+IF(Tactisch!F47&gt;0,1,0)+IF(Tactisch!F48&gt;0,1,0)+IF(Tactisch!F49="",0,1)</f>
        <v>0</v>
      </c>
      <c r="G19" s="9">
        <f>COUNTIF(Tactisch!F50:F56,"JA")</f>
        <v>0</v>
      </c>
      <c r="H19" s="9">
        <f>COUNTIF(Tactisch!F50:F56,"NEE")</f>
        <v>0</v>
      </c>
      <c r="I19" s="15">
        <f>F19/E19</f>
        <v>0</v>
      </c>
      <c r="J19" s="15">
        <f>G19/(E19-3)</f>
        <v>0</v>
      </c>
      <c r="K19" s="87">
        <f>COUNTIF(Tactisch!I47:I56,"M")/$E$19</f>
        <v>0.2</v>
      </c>
      <c r="L19" s="15">
        <f>COUNTIF(Tactisch!J47:J56,"Voldaan")/$E$19</f>
        <v>0</v>
      </c>
      <c r="M19" s="15">
        <f t="shared" si="5"/>
        <v>0.2</v>
      </c>
      <c r="N19" s="88">
        <f t="shared" si="6"/>
        <v>0.2</v>
      </c>
      <c r="O19" t="str">
        <f t="shared" si="7"/>
        <v>NEE</v>
      </c>
    </row>
    <row r="20" spans="1:15" x14ac:dyDescent="0.45">
      <c r="A20" s="17">
        <f t="shared" si="4"/>
        <v>0</v>
      </c>
      <c r="B20" s="17" t="str">
        <f>IF(A20=1,SUM($A$8:A20),"Nvt")</f>
        <v>Nvt</v>
      </c>
      <c r="C20" t="s">
        <v>1</v>
      </c>
      <c r="D20" s="9" t="str">
        <f>Tactisch!C57</f>
        <v>Leveranciersmanagement</v>
      </c>
      <c r="E20" s="9">
        <v>4</v>
      </c>
      <c r="F20" s="9">
        <f>G20+H20+IF(Tactisch!F57="",0,1)</f>
        <v>0</v>
      </c>
      <c r="G20" s="9">
        <f>COUNTIF(Tactisch!F58:F60,"JA")</f>
        <v>0</v>
      </c>
      <c r="H20" s="9">
        <f>COUNTIF(Tactisch!F58:F60,"NEE")</f>
        <v>0</v>
      </c>
      <c r="I20" s="15">
        <f>F20/E20</f>
        <v>0</v>
      </c>
      <c r="J20" s="15">
        <f>G20/(E20-1)</f>
        <v>0</v>
      </c>
      <c r="K20" s="89">
        <f>COUNTIF(Tactisch!I57:I60,"M")/$E$20</f>
        <v>0</v>
      </c>
      <c r="L20" s="90">
        <f>COUNTIF(Tactisch!J57:J60,"Voldaan")/$E$20</f>
        <v>0</v>
      </c>
      <c r="M20" s="90">
        <f t="shared" si="5"/>
        <v>0</v>
      </c>
      <c r="N20" s="91">
        <f t="shared" si="6"/>
        <v>0</v>
      </c>
      <c r="O20" t="str">
        <f t="shared" si="7"/>
        <v>NEE</v>
      </c>
    </row>
    <row r="21" spans="1:15" x14ac:dyDescent="0.45">
      <c r="L21" s="7">
        <f>SUM(L16:L20)</f>
        <v>0</v>
      </c>
    </row>
    <row r="22" spans="1:15" x14ac:dyDescent="0.45">
      <c r="C22" t="s">
        <v>136</v>
      </c>
      <c r="O22" t="str">
        <f>IF(COUNTIF(O16:O20,"JA")=0,"NEE","JA")</f>
        <v>NEE</v>
      </c>
    </row>
    <row r="24" spans="1:15" x14ac:dyDescent="0.45">
      <c r="G24" s="34"/>
    </row>
  </sheetData>
  <mergeCells count="2">
    <mergeCell ref="K6:N6"/>
    <mergeCell ref="K14:N1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O29"/>
  <sheetViews>
    <sheetView workbookViewId="0">
      <selection activeCell="L39" sqref="L39"/>
    </sheetView>
  </sheetViews>
  <sheetFormatPr defaultRowHeight="14.25" x14ac:dyDescent="0.45"/>
  <cols>
    <col min="1" max="1" width="12" bestFit="1" customWidth="1"/>
    <col min="2" max="2" width="14.59765625" customWidth="1"/>
    <col min="3" max="3" width="13.265625" bestFit="1" customWidth="1"/>
    <col min="4" max="4" width="13.73046875" customWidth="1"/>
    <col min="5" max="5" width="19.1328125" bestFit="1" customWidth="1"/>
    <col min="6" max="6" width="19.1328125" customWidth="1"/>
    <col min="7" max="7" width="17" customWidth="1"/>
    <col min="8" max="8" width="12.73046875" bestFit="1" customWidth="1"/>
    <col min="9" max="10" width="14.73046875" bestFit="1" customWidth="1"/>
    <col min="11" max="12" width="9.1328125" bestFit="1" customWidth="1"/>
    <col min="13" max="13" width="70.265625" bestFit="1" customWidth="1"/>
  </cols>
  <sheetData>
    <row r="2" spans="1:15" s="3" customFormat="1" x14ac:dyDescent="0.45">
      <c r="A2" s="3" t="s">
        <v>41</v>
      </c>
    </row>
    <row r="3" spans="1:15" x14ac:dyDescent="0.45">
      <c r="B3" s="4" t="s">
        <v>56</v>
      </c>
      <c r="D3" s="13" t="s">
        <v>73</v>
      </c>
      <c r="E3" s="13" t="s">
        <v>73</v>
      </c>
      <c r="F3" s="1"/>
      <c r="G3" s="13" t="s">
        <v>112</v>
      </c>
    </row>
    <row r="4" spans="1:15" x14ac:dyDescent="0.45">
      <c r="B4" t="s">
        <v>42</v>
      </c>
      <c r="D4" s="6">
        <v>200</v>
      </c>
      <c r="E4" t="s">
        <v>87</v>
      </c>
      <c r="G4" s="25">
        <v>0</v>
      </c>
    </row>
    <row r="5" spans="1:15" x14ac:dyDescent="0.45">
      <c r="B5" t="s">
        <v>43</v>
      </c>
      <c r="D5" s="6">
        <v>500</v>
      </c>
      <c r="E5" t="s">
        <v>88</v>
      </c>
      <c r="G5" s="25">
        <v>1</v>
      </c>
    </row>
    <row r="6" spans="1:15" x14ac:dyDescent="0.45">
      <c r="D6" s="6">
        <v>1000</v>
      </c>
      <c r="E6" t="s">
        <v>89</v>
      </c>
      <c r="G6" s="25">
        <v>2</v>
      </c>
    </row>
    <row r="7" spans="1:15" x14ac:dyDescent="0.45">
      <c r="D7" s="20">
        <v>2500</v>
      </c>
      <c r="E7" t="s">
        <v>90</v>
      </c>
      <c r="G7" s="25">
        <v>3</v>
      </c>
    </row>
    <row r="8" spans="1:15" x14ac:dyDescent="0.45">
      <c r="D8" s="20">
        <v>5000</v>
      </c>
      <c r="E8" t="s">
        <v>91</v>
      </c>
      <c r="G8" s="25">
        <v>4</v>
      </c>
    </row>
    <row r="9" spans="1:15" x14ac:dyDescent="0.45">
      <c r="D9" s="20">
        <v>10000</v>
      </c>
      <c r="E9" t="s">
        <v>74</v>
      </c>
      <c r="G9" s="25">
        <v>5</v>
      </c>
    </row>
    <row r="10" spans="1:15" x14ac:dyDescent="0.45">
      <c r="D10" s="6" t="s">
        <v>126</v>
      </c>
      <c r="E10" s="18" t="s">
        <v>125</v>
      </c>
      <c r="F10" s="18"/>
      <c r="G10" s="26" t="s">
        <v>113</v>
      </c>
    </row>
    <row r="13" spans="1:15" s="3" customFormat="1" x14ac:dyDescent="0.45">
      <c r="A13" s="3" t="s">
        <v>78</v>
      </c>
    </row>
    <row r="14" spans="1:15" x14ac:dyDescent="0.45">
      <c r="B14" s="4" t="s">
        <v>79</v>
      </c>
      <c r="C14" s="4"/>
      <c r="D14" s="4"/>
      <c r="E14" s="4"/>
      <c r="F14" s="4"/>
      <c r="G14" s="4"/>
      <c r="I14" s="4" t="s">
        <v>80</v>
      </c>
      <c r="J14" s="4"/>
      <c r="K14" s="4"/>
      <c r="L14" s="4"/>
      <c r="M14" s="4"/>
    </row>
    <row r="15" spans="1:15" x14ac:dyDescent="0.45">
      <c r="B15" s="17" t="s">
        <v>81</v>
      </c>
      <c r="C15" s="17" t="s">
        <v>84</v>
      </c>
      <c r="D15" s="17" t="s">
        <v>85</v>
      </c>
      <c r="E15" s="17" t="s">
        <v>49</v>
      </c>
      <c r="F15" s="17" t="s">
        <v>97</v>
      </c>
      <c r="G15" s="17" t="s">
        <v>118</v>
      </c>
      <c r="I15" s="17" t="s">
        <v>81</v>
      </c>
      <c r="J15" s="17" t="s">
        <v>102</v>
      </c>
      <c r="K15" s="17" t="s">
        <v>82</v>
      </c>
      <c r="L15" s="17" t="s">
        <v>83</v>
      </c>
      <c r="M15" s="17" t="s">
        <v>94</v>
      </c>
      <c r="N15" s="21"/>
      <c r="O15" s="22"/>
    </row>
    <row r="16" spans="1:15" x14ac:dyDescent="0.45">
      <c r="B16" s="6">
        <v>200</v>
      </c>
      <c r="C16" s="17">
        <v>2</v>
      </c>
      <c r="D16" s="17">
        <v>1</v>
      </c>
      <c r="E16" s="17" t="s">
        <v>86</v>
      </c>
      <c r="F16" s="17" t="s">
        <v>98</v>
      </c>
      <c r="G16" s="17" t="s">
        <v>119</v>
      </c>
      <c r="I16" s="6">
        <v>200</v>
      </c>
      <c r="J16">
        <v>12.5</v>
      </c>
      <c r="K16" s="19">
        <f>200*10*12*J16</f>
        <v>300000</v>
      </c>
      <c r="L16" s="19">
        <f>200*30*12*J16</f>
        <v>900000</v>
      </c>
      <c r="M16" s="6" t="str">
        <f t="shared" ref="M16:M21" si="0">CONCATENATE(TEXT(K16,"#.###.### ")," - ",TEXT(L16,"#.###.### "))</f>
        <v xml:space="preserve">300.000  - 900.000 </v>
      </c>
      <c r="N16" s="21"/>
      <c r="O16" s="22"/>
    </row>
    <row r="17" spans="2:15" x14ac:dyDescent="0.45">
      <c r="B17" s="6">
        <v>500</v>
      </c>
      <c r="C17" s="17">
        <v>2</v>
      </c>
      <c r="D17" s="17">
        <v>1</v>
      </c>
      <c r="E17" s="17" t="s">
        <v>86</v>
      </c>
      <c r="F17" s="17" t="s">
        <v>98</v>
      </c>
      <c r="G17" s="17" t="s">
        <v>119</v>
      </c>
      <c r="I17" s="6">
        <v>500</v>
      </c>
      <c r="J17">
        <v>8</v>
      </c>
      <c r="K17" s="19">
        <f>500*10*12*J17</f>
        <v>480000</v>
      </c>
      <c r="L17" s="19">
        <f>500*30*12*J17</f>
        <v>1440000</v>
      </c>
      <c r="M17" s="27" t="str">
        <f t="shared" si="0"/>
        <v xml:space="preserve">480.000  - 1.440.000 </v>
      </c>
      <c r="O17" s="22"/>
    </row>
    <row r="18" spans="2:15" x14ac:dyDescent="0.45">
      <c r="B18" s="6">
        <v>1000</v>
      </c>
      <c r="C18" s="17">
        <v>6</v>
      </c>
      <c r="D18" s="17">
        <v>2</v>
      </c>
      <c r="E18" s="17" t="s">
        <v>86</v>
      </c>
      <c r="F18" s="17" t="s">
        <v>98</v>
      </c>
      <c r="G18" s="17" t="s">
        <v>120</v>
      </c>
      <c r="I18" s="6">
        <v>1000</v>
      </c>
      <c r="J18">
        <v>6</v>
      </c>
      <c r="K18" s="19">
        <f>1000*10*12*J18</f>
        <v>720000</v>
      </c>
      <c r="L18" s="19">
        <f>1000*30*12*J18</f>
        <v>2160000</v>
      </c>
      <c r="M18" s="6" t="str">
        <f t="shared" si="0"/>
        <v xml:space="preserve">720.000  - 2.160.000 </v>
      </c>
      <c r="N18" s="27"/>
      <c r="O18" s="22"/>
    </row>
    <row r="19" spans="2:15" x14ac:dyDescent="0.45">
      <c r="B19" s="20">
        <v>2500</v>
      </c>
      <c r="C19" s="17">
        <v>6</v>
      </c>
      <c r="D19" s="17">
        <v>3</v>
      </c>
      <c r="E19" s="17" t="s">
        <v>93</v>
      </c>
      <c r="F19" s="17" t="s">
        <v>98</v>
      </c>
      <c r="G19" s="17" t="s">
        <v>121</v>
      </c>
      <c r="I19" s="20">
        <v>2500</v>
      </c>
      <c r="J19">
        <v>4</v>
      </c>
      <c r="K19" s="19">
        <f>2500*10*12*J19</f>
        <v>1200000</v>
      </c>
      <c r="L19" s="19">
        <f>2500*30*12*J19</f>
        <v>3600000</v>
      </c>
      <c r="M19" s="6" t="str">
        <f t="shared" si="0"/>
        <v xml:space="preserve">1.200.000  - 3.600.000 </v>
      </c>
      <c r="N19" s="27"/>
      <c r="O19" s="22"/>
    </row>
    <row r="20" spans="2:15" x14ac:dyDescent="0.45">
      <c r="B20" s="20">
        <v>5000</v>
      </c>
      <c r="C20" s="17">
        <v>8</v>
      </c>
      <c r="D20" s="17">
        <v>3</v>
      </c>
      <c r="E20" s="17" t="s">
        <v>93</v>
      </c>
      <c r="F20" s="17" t="s">
        <v>99</v>
      </c>
      <c r="G20" s="17" t="s">
        <v>121</v>
      </c>
      <c r="I20" s="20">
        <v>5000</v>
      </c>
      <c r="J20">
        <v>3</v>
      </c>
      <c r="K20" s="19">
        <f>5000*10*12*J20</f>
        <v>1800000</v>
      </c>
      <c r="L20" s="19">
        <f>5000*30*12*J20</f>
        <v>5400000</v>
      </c>
      <c r="M20" s="6" t="str">
        <f t="shared" si="0"/>
        <v xml:space="preserve">1.800.000  - 5.400.000 </v>
      </c>
      <c r="N20" s="27"/>
      <c r="O20" s="22"/>
    </row>
    <row r="21" spans="2:15" x14ac:dyDescent="0.45">
      <c r="B21" s="20">
        <v>10000</v>
      </c>
      <c r="C21" s="17">
        <v>9</v>
      </c>
      <c r="D21" s="17">
        <v>4</v>
      </c>
      <c r="E21" s="17" t="s">
        <v>92</v>
      </c>
      <c r="F21" s="17" t="s">
        <v>99</v>
      </c>
      <c r="G21" s="17" t="s">
        <v>121</v>
      </c>
      <c r="I21" s="20">
        <v>10000</v>
      </c>
      <c r="J21">
        <v>2</v>
      </c>
      <c r="K21" s="19">
        <f>10000*10*12*J21</f>
        <v>2400000</v>
      </c>
      <c r="L21" s="19">
        <f>10000*30*12*J21</f>
        <v>7200000</v>
      </c>
      <c r="M21" s="6" t="str">
        <f t="shared" si="0"/>
        <v xml:space="preserve">2.400.000  - 7.200.000 </v>
      </c>
      <c r="N21" s="27"/>
      <c r="O21" s="22"/>
    </row>
    <row r="22" spans="2:15" x14ac:dyDescent="0.45">
      <c r="B22" s="6" t="s">
        <v>126</v>
      </c>
      <c r="C22" s="17" t="s">
        <v>128</v>
      </c>
      <c r="D22" s="17" t="s">
        <v>127</v>
      </c>
      <c r="E22" s="17" t="s">
        <v>92</v>
      </c>
      <c r="F22" s="17" t="s">
        <v>99</v>
      </c>
      <c r="G22" s="17" t="s">
        <v>121</v>
      </c>
      <c r="I22" s="6" t="s">
        <v>72</v>
      </c>
      <c r="J22">
        <v>1</v>
      </c>
      <c r="K22" s="20">
        <f>K21</f>
        <v>2400000</v>
      </c>
      <c r="L22" s="20">
        <f>L21</f>
        <v>7200000</v>
      </c>
      <c r="M22" s="6" t="str">
        <f>CONCATENATE(TEXT(K22,"#.###.### ")," - ",TEXT(L22,"#.###.### "),"of hoger, afhankelijk van de omvang van de organisatie")</f>
        <v>2.400.000  - 7.200.000 of hoger, afhankelijk van de omvang van de organisatie</v>
      </c>
      <c r="N22" s="27"/>
      <c r="O22" s="22"/>
    </row>
    <row r="23" spans="2:15" x14ac:dyDescent="0.45">
      <c r="N23" s="21"/>
      <c r="O23" s="22"/>
    </row>
    <row r="24" spans="2:15" x14ac:dyDescent="0.45">
      <c r="N24" s="21"/>
      <c r="O24" s="22"/>
    </row>
    <row r="25" spans="2:15" x14ac:dyDescent="0.45">
      <c r="N25" s="21"/>
      <c r="O25" s="22"/>
    </row>
    <row r="26" spans="2:15" x14ac:dyDescent="0.45">
      <c r="N26" s="21"/>
      <c r="O26" s="22"/>
    </row>
    <row r="27" spans="2:15" x14ac:dyDescent="0.45">
      <c r="N27" s="21"/>
      <c r="O27" s="22"/>
    </row>
    <row r="28" spans="2:15" x14ac:dyDescent="0.45">
      <c r="N28" s="21"/>
      <c r="O28" s="21"/>
    </row>
    <row r="29" spans="2:15" x14ac:dyDescent="0.45">
      <c r="N29" s="21"/>
      <c r="O29" s="21"/>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8</vt:i4>
      </vt:variant>
    </vt:vector>
  </HeadingPairs>
  <TitlesOfParts>
    <vt:vector size="8" baseType="lpstr">
      <vt:lpstr>INFO</vt:lpstr>
      <vt:lpstr>Dashboard</vt:lpstr>
      <vt:lpstr>Strategisch</vt:lpstr>
      <vt:lpstr>Tactisch</vt:lpstr>
      <vt:lpstr>Ondersteunende bronnen</vt:lpstr>
      <vt:lpstr>||</vt:lpstr>
      <vt:lpstr>Samenvatting-Data</vt: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2026-06-09T14:18:41Z</dcterms:created>
  <dcterms:modified xsi:type="dcterms:W3CDTF">2026-06-09T14:18:47Z</dcterms:modified>
</cp:coreProperties>
</file>